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827"/>
  <workbookPr/>
  <mc:AlternateContent xmlns:mc="http://schemas.openxmlformats.org/markup-compatibility/2006">
    <mc:Choice Requires="x15">
      <x15ac:absPath xmlns:x15ac="http://schemas.microsoft.com/office/spreadsheetml/2010/11/ac" url="C:\Users\User\Downloads\"/>
    </mc:Choice>
  </mc:AlternateContent>
  <xr:revisionPtr revIDLastSave="0" documentId="13_ncr:1_{C04ECC87-552B-491C-81A2-A89DF1E4C8B0}" xr6:coauthVersionLast="37" xr6:coauthVersionMax="37" xr10:uidLastSave="{00000000-0000-0000-0000-000000000000}"/>
  <bookViews>
    <workbookView xWindow="0" yWindow="0" windowWidth="19200" windowHeight="7080" tabRatio="852" xr2:uid="{00000000-000D-0000-FFFF-FFFF00000000}"/>
  </bookViews>
  <sheets>
    <sheet name="Инструкция" sheetId="1" r:id="rId1"/>
    <sheet name="Титульный" sheetId="2" r:id="rId2"/>
    <sheet name="Список территорий" sheetId="3" r:id="rId3"/>
    <sheet name="Дифференциация" sheetId="4" state="hidden" r:id="rId4"/>
    <sheet name="Перечень тарифов" sheetId="5" r:id="rId5"/>
    <sheet name="Дифференциация тариф показатель" sheetId="6" state="hidden" r:id="rId6"/>
    <sheet name="Общая информация об организации" sheetId="7" state="hidden" r:id="rId7"/>
    <sheet name="Общая информация по ВД" sheetId="8" state="hidden" r:id="rId8"/>
    <sheet name="Виды объектов" sheetId="9" state="hidden" r:id="rId9"/>
    <sheet name="Сведения по территориям" sheetId="10" state="hidden" r:id="rId10"/>
    <sheet name="ТС. Т-ТЭ | &gt;=25МВт" sheetId="11" state="hidden" r:id="rId11"/>
    <sheet name="ТС. Т-ТЭ | ТСО" sheetId="12" r:id="rId12"/>
    <sheet name="ТС. Т-ТЭ | предел" sheetId="13" state="hidden" r:id="rId13"/>
    <sheet name="ТС. Т-ТЭ | индикат" sheetId="14" state="hidden" r:id="rId14"/>
    <sheet name="ТС. Резерв мощности" sheetId="15" state="hidden" r:id="rId15"/>
    <sheet name="ТС. Т-ТН" sheetId="16" r:id="rId16"/>
    <sheet name="ТС. Т-передача ТЭ" sheetId="17" r:id="rId17"/>
    <sheet name="ТС. Т-передача ТН" sheetId="18" state="hidden" r:id="rId18"/>
    <sheet name="ТС. Т-гор.вода" sheetId="19" r:id="rId19"/>
    <sheet name="ТС. Т-подкл" sheetId="20" state="hidden" r:id="rId20"/>
    <sheet name="ХВС. Т-пит" sheetId="21" state="hidden" r:id="rId21"/>
    <sheet name="ХВС. Т-тех" sheetId="22" state="hidden" r:id="rId22"/>
    <sheet name="ХВС. Т-транс" sheetId="23" state="hidden" r:id="rId23"/>
    <sheet name="ХВС. Т-подвоз" sheetId="24" state="hidden" r:id="rId24"/>
    <sheet name="ТС. Т-подкл(инд)" sheetId="25" state="hidden" r:id="rId25"/>
    <sheet name="ХВС. Т-подкл" sheetId="26" state="hidden" r:id="rId26"/>
    <sheet name="ВО. Т-во" sheetId="27" state="hidden" r:id="rId27"/>
    <sheet name="ВО. Т-транс" sheetId="28" state="hidden" r:id="rId28"/>
    <sheet name="ВО. Т-подкл" sheetId="29" state="hidden" r:id="rId29"/>
    <sheet name="ГВС. Т-гор.вода" sheetId="30" state="hidden" r:id="rId30"/>
    <sheet name="ГВС. Т-транс" sheetId="31" state="hidden" r:id="rId31"/>
    <sheet name="ГВС. Т-подкл" sheetId="32" state="hidden" r:id="rId32"/>
    <sheet name="Показатели ФХД" sheetId="33" state="hidden" r:id="rId33"/>
    <sheet name="Показатели ФХД &gt;20%" sheetId="34" state="hidden" r:id="rId34"/>
    <sheet name="Показатели ОТЭП" sheetId="35" state="hidden" r:id="rId35"/>
    <sheet name="Стандарты качества" sheetId="36" state="hidden" r:id="rId36"/>
    <sheet name="ТКО. Показатели ФХД" sheetId="37" state="hidden" r:id="rId37"/>
    <sheet name="ТКО. Транс. Показатели ФХД" sheetId="38" state="hidden" r:id="rId38"/>
    <sheet name="Показатели КНЭ" sheetId="39" state="hidden" r:id="rId39"/>
    <sheet name="Ограничения" sheetId="40" state="hidden" r:id="rId40"/>
    <sheet name="ИП" sheetId="41" state="hidden" r:id="rId41"/>
    <sheet name="ИП. Детализация" sheetId="42" state="hidden" r:id="rId42"/>
    <sheet name="ИП. Финансовый план" sheetId="43" state="hidden" r:id="rId43"/>
    <sheet name="ИП. КНЭ" sheetId="44" state="hidden" r:id="rId44"/>
    <sheet name="ТП" sheetId="45" state="hidden" r:id="rId45"/>
    <sheet name="Договоры" sheetId="46" state="hidden" r:id="rId46"/>
    <sheet name="Порядок ТП" sheetId="47" state="hidden" r:id="rId47"/>
    <sheet name="Предложение" sheetId="48" r:id="rId48"/>
    <sheet name="Сведения о закупках" sheetId="49" r:id="rId49"/>
    <sheet name="Потребительские характеристики" sheetId="50" state="hidden" r:id="rId50"/>
    <sheet name="TEHSHEET" sheetId="51" state="hidden" r:id="rId51"/>
    <sheet name="Орган регулирования" sheetId="52" state="hidden" r:id="rId52"/>
    <sheet name="Перечень организаций" sheetId="53" state="hidden" r:id="rId53"/>
    <sheet name="Дела об установлении тарифов" sheetId="54" state="hidden" r:id="rId54"/>
    <sheet name="Дела об утверждении ПУЦ" sheetId="55" state="hidden" r:id="rId55"/>
    <sheet name="Привлечение к ответственности" sheetId="56" state="hidden" r:id="rId56"/>
    <sheet name="ЭД" sheetId="57" state="hidden" r:id="rId57"/>
    <sheet name="Сведения об изменении" sheetId="58" r:id="rId58"/>
    <sheet name="Комментарии" sheetId="59" r:id="rId59"/>
    <sheet name="Проверка" sheetId="60" state="hidden" r:id="rId60"/>
    <sheet name="et_union_hor" sheetId="61" state="hidden" r:id="rId61"/>
    <sheet name="DATA_FORMS" sheetId="62" state="hidden" r:id="rId62"/>
    <sheet name="DATA_NPA" sheetId="63" state="hidden" r:id="rId63"/>
    <sheet name="Т-ТЭ | потр" sheetId="64" state="hidden" r:id="rId64"/>
    <sheet name="modMainProcedures" sheetId="65" state="hidden" r:id="rId65"/>
    <sheet name="modB_FHD" sheetId="66" state="hidden" r:id="rId66"/>
    <sheet name="modB_FHD20" sheetId="67" state="hidden" r:id="rId67"/>
    <sheet name="modB_KNE" sheetId="68" state="hidden" r:id="rId68"/>
    <sheet name="modIP_MAIN" sheetId="69" state="hidden" r:id="rId69"/>
    <sheet name="modIP_QRE" sheetId="70" state="hidden" r:id="rId70"/>
    <sheet name="modIP_DETAILED" sheetId="71" state="hidden" r:id="rId71"/>
    <sheet name="et_union_vert" sheetId="72" state="hidden" r:id="rId72"/>
    <sheet name="Легенда" sheetId="73" state="hidden" r:id="rId73"/>
    <sheet name="modfrmListIP" sheetId="74" state="hidden" r:id="rId74"/>
    <sheet name="modfrmActivity" sheetId="75" state="hidden" r:id="rId75"/>
    <sheet name="REESTR_ORG" sheetId="76" state="hidden" r:id="rId76"/>
    <sheet name="REESTR_MO" sheetId="77" state="hidden" r:id="rId77"/>
    <sheet name="REESTR_IP" sheetId="78" state="hidden" r:id="rId78"/>
    <sheet name="REESTR_OBJ_INFR" sheetId="79" state="hidden" r:id="rId79"/>
    <sheet name="REESTR_DS" sheetId="80" state="hidden" r:id="rId80"/>
    <sheet name="REESTR_VT" sheetId="81" state="hidden" r:id="rId81"/>
    <sheet name="REESTR_VED" sheetId="82" state="hidden" r:id="rId82"/>
    <sheet name="REESTR_MO_FILTER" sheetId="83" state="hidden" r:id="rId83"/>
    <sheet name="REESTR_LINK" sheetId="84" state="hidden" r:id="rId84"/>
    <sheet name="modSheetMain" sheetId="85" state="hidden" r:id="rId85"/>
    <sheet name="modfrmReportMode" sheetId="86" state="hidden" r:id="rId86"/>
    <sheet name="modfrmReestrObj" sheetId="87" state="hidden" r:id="rId87"/>
    <sheet name="AllSheetsInThisWorkbook" sheetId="88" state="hidden" r:id="rId88"/>
    <sheet name="modInfo" sheetId="89" state="hidden" r:id="rId89"/>
  </sheets>
  <definedNames>
    <definedName name="_xlnm._FilterDatabase" localSheetId="59">Проверка!$B$4:$E$5</definedName>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ТСО'!$82:$84</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Т-ТН'!$82:$85</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Т-гор.вода'!$94:$96</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ТСО'!$85:$88</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Т-ТН'!$86:$89</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Т-гор.вода'!$97:$99</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тарифов'!$97:$121</definedName>
    <definedName name="BLOCK_PT_HEAT">'Перечень тарифов'!$13:$95</definedName>
    <definedName name="BLOCK_PT_HEAT_NOT_R">'Перечень тарифов'!$81:$85</definedName>
    <definedName name="BLOCK_PT_HEAT_NOT_R_TMP">'Перечень тарифов'!$76:$80</definedName>
    <definedName name="BLOCK_PT_HEAT_PHEAT">'Перечень тарифов'!$29:$33</definedName>
    <definedName name="BLOCK_PT_HEAT_PHEAT_HIDDEN_FORMULAS">'Перечень тарифов'!$Z$29:$AQ$29</definedName>
    <definedName name="BLOCK_PT_HEAT_RHEAT">'Перечень тарифов'!$18:$28</definedName>
    <definedName name="BLOCK_PT_HEAT_RHEAT_HIDDEN_FORMULAS">'Перечень тарифов'!$Z$18:$AQ$18</definedName>
    <definedName name="BLOCK_PT_HOTVSNA">'Перечень тарифов'!$123:$137</definedName>
    <definedName name="BLOCK_PT_VOTV">'Перечень тарифов'!$139:$153</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территорий'!$E$24:$I$24</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REESTR_DS!$B$2:$B$5</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тарифов'!$Z$12:$Z$155</definedName>
    <definedName name="DIFFERENTIATION_TARIFF_VD_ID">'Перечень тарифов'!$AB$12:$AB$155</definedName>
    <definedName name="DIFFERENTIATION_TARIFF_VTAR_ID">'Перечень тарифов'!$AA$12:$AA$155</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et_union_hor!$127:$135</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территорий'!$C$12:$C$24</definedName>
    <definedName name="pDel_LT_MO">'Список территорий'!$D$11:$D$24</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территорий'!$G$24</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ТСО'!$T$81</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Т-ТН'!$T$81</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Т-гор.вода'!$V$93</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ТСО'!$AT$39</definedName>
    <definedName name="pIns_ver_HEAT_TARIFF_C">'ТС. Т-ТН'!$AT$39</definedName>
    <definedName name="pIns_ver_HEAT_TARIFF_D">'ТС. Т-гор.вода'!$AY$43</definedName>
    <definedName name="pIns_ver_HEAT_TARIFF_E1">'ТС. Т-передача ТЭ'!$AT$39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30">'ТС. Т-ТЭ | ТСО'!$57:$66</definedName>
    <definedName name="pt_cs_31">'ТС. Т-ТЭ | ТСО'!$69:$78</definedName>
    <definedName name="pt_cs_32">'ТС. Т-ТН'!$57:$66</definedName>
    <definedName name="pt_cs_33">'ТС. Т-ТН'!$69:$78</definedName>
    <definedName name="pt_cs_34">'ТС. Т-гор.вода'!$65:$76</definedName>
    <definedName name="pt_cs_35">'ТС. Т-гор.вода'!$79:$90</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тарифов'!$AL$12:$AL$155</definedName>
    <definedName name="PT_DIFFERENTIATION_CS_ID">'Перечень тарифов'!$AF$12:$AF$155</definedName>
    <definedName name="PT_DIFFERENTIATION_IST_TE">'Перечень тарифов'!$AM$12:$AM$155</definedName>
    <definedName name="PT_DIFFERENTIATION_IST_TE_ID">'Перечень тарифов'!$AG$12:$AG$155</definedName>
    <definedName name="PT_DIFFERENTIATION_NTAR">'Перечень тарифов'!$AJ$12:$AJ$155</definedName>
    <definedName name="PT_DIFFERENTIATION_NTAR_ID">'Перечень тарифов'!$AD$12:$AD$155</definedName>
    <definedName name="PT_DIFFERENTIATION_NUM_CS">'Перечень тарифов'!$AP$12:$AP$155</definedName>
    <definedName name="PT_DIFFERENTIATION_NUM_IST_TE">'Перечень тарифов'!$AQ$12:$AQ$155</definedName>
    <definedName name="PT_DIFFERENTIATION_NUM_NTAR">'Перечень тарифов'!$AN$12:$AN$155</definedName>
    <definedName name="PT_DIFFERENTIATION_NUM_TER">'Перечень тарифов'!$AO$12:$AO$155</definedName>
    <definedName name="PT_DIFFERENTIATION_TER">'Перечень тарифов'!$AK$12:$AK$155</definedName>
    <definedName name="PT_DIFFERENTIATION_TER_ID">'Перечень тарифов'!$AE$12:$AE$155</definedName>
    <definedName name="PT_DIFFERENTIATION_VDET">'Перечень тарифов'!$AI$12:$AI$155</definedName>
    <definedName name="PT_DIFFERENTIATION_VTAR">'Перечень тарифов'!$AH$12:$AH$155</definedName>
    <definedName name="PT_DIFFERENTIATION_VTAR_ID">'Перечень тарифов'!$AC$12:$AC$155</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тарифов'!$F$81</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30">'ТС. Т-ТЭ | ТСО'!$58:$65</definedName>
    <definedName name="pt_ist_te_31">'ТС. Т-ТЭ | ТСО'!$70:$77</definedName>
    <definedName name="pt_ist_te_32">'ТС. Т-ТН'!$58:$65</definedName>
    <definedName name="pt_ist_te_33">'ТС. Т-ТН'!$70:$77</definedName>
    <definedName name="pt_ist_te_34">'ТС. Т-гор.вода'!$66:$75</definedName>
    <definedName name="pt_ist_te_35">'ТС. Т-гор.вода'!$80:$89</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ТСО'!$43:$80</definedName>
    <definedName name="pt_ntar_20">'ТС. Т-подкл(инд)'!$42:$55</definedName>
    <definedName name="pt_ntar_21">'ТС. Т-ТЭ | предел'!$43:$56</definedName>
    <definedName name="pt_ntar_21_1">'ТС. Т-ТЭ | индикат'!$43:$56</definedName>
    <definedName name="pt_ntar_3">'ТС. Т-ТН'!$43:$80</definedName>
    <definedName name="pt_ntar_4">'ТС. Т-гор.вода'!$49:$92</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30">'ТС. Т-ТЭ | ТСО'!$56:$67</definedName>
    <definedName name="pt_ter_31">'ТС. Т-ТЭ | ТСО'!$68:$79</definedName>
    <definedName name="pt_ter_32">'ТС. Т-ТН'!$56:$67</definedName>
    <definedName name="pt_ter_33">'ТС. Т-ТН'!$68:$79</definedName>
    <definedName name="pt_ter_34">'ТС. Т-гор.вода'!$64:$77</definedName>
    <definedName name="pt_ter_35">'ТС. Т-гор.вода'!$78:$91</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тарифов'!$W$154</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ТСО'!$AT$82</definedName>
    <definedName name="tblEnd_1_TARIFF_B_COLDVSNA">'ХВС. Т-тех'!$AJ$54</definedName>
    <definedName name="tblEnd_1_TARIFF_B_HOTVSNA">'ГВС. Т-транс'!$AR$55</definedName>
    <definedName name="tblEnd_1_TARIFF_B_VOTV">'ВО. Т-транс'!$AJ$54</definedName>
    <definedName name="tblEnd_1_TARIFF_C">'ТС. Т-ТН'!$AT$82</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Т-гор.вода'!$AY$94</definedName>
    <definedName name="tblEnd_1_TARIFF_D_COLDVSNA">'ХВС. Т-подвоз'!$AJ$54</definedName>
    <definedName name="tblEnd_1_TARIFF_E_COLDVSNA">'ХВС. Т-подкл'!$BB$64</definedName>
    <definedName name="tblEnd_1_TARIFF_E1">'ТС. Т-передача ТЭ'!$AT$58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территорий'!$I$25</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5">'Список территорий'!$G$16:$I$16</definedName>
    <definedName name="ter_51">'Список территорий'!$G$19:$I$19</definedName>
    <definedName name="ter_511">'Список территорий'!$G$22:$I$22</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территорий'!$E$11:$I$24</definedName>
    <definedName name="TERRITORY_ID">TEHSHEET!$E$56</definedName>
    <definedName name="TERRITORY_LIST_ID">'Список территорий'!$F$11:$F$24</definedName>
    <definedName name="TERRITORY_MO_LIST">'Список территорий'!$H$11:$H$24</definedName>
    <definedName name="TERRITORY_MR_LIST">'Список территорий'!$G$11:$G$24</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_ID_LIST">REESTR_VED!$A$2:$A$11</definedName>
    <definedName name="VD_LIST">REESTR_VED!$A$2:$B$11</definedName>
    <definedName name="VD_NAME_LIST">REESTR_VED!$B$2:$B$11</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s>
  <calcPr calcId="179021" iterate="1"/>
</workbook>
</file>

<file path=xl/calcChain.xml><?xml version="1.0" encoding="utf-8"?>
<calcChain xmlns="http://schemas.openxmlformats.org/spreadsheetml/2006/main">
  <c r="AA32" i="64" l="1"/>
  <c r="AA31" i="64"/>
  <c r="AA30" i="64"/>
  <c r="AA29" i="64"/>
  <c r="AA28" i="64"/>
  <c r="AA27" i="64"/>
  <c r="AA26" i="64"/>
  <c r="R26" i="64"/>
  <c r="AA25" i="64"/>
  <c r="Y25" i="64"/>
  <c r="AA24" i="64"/>
  <c r="AA23" i="64"/>
  <c r="AA22" i="64"/>
  <c r="AA21" i="64"/>
  <c r="AA20" i="64"/>
  <c r="AA19" i="64"/>
  <c r="Q18" i="64"/>
  <c r="R18" i="64" s="1"/>
  <c r="S18" i="64" s="1"/>
  <c r="T18" i="64" s="1"/>
  <c r="V18" i="64" s="1"/>
  <c r="W18" i="64" s="1"/>
  <c r="X18" i="64" s="1"/>
  <c r="N18" i="64"/>
  <c r="O18" i="64" s="1"/>
  <c r="O11" i="64"/>
  <c r="O10" i="64"/>
  <c r="O9" i="64"/>
  <c r="O8" i="64"/>
  <c r="L6" i="64"/>
  <c r="M148" i="63"/>
  <c r="K101" i="63"/>
  <c r="N101" i="63" s="1"/>
  <c r="J101" i="63"/>
  <c r="M101" i="63" s="1"/>
  <c r="I101" i="63"/>
  <c r="L101" i="63" s="1"/>
  <c r="N100" i="63"/>
  <c r="M100" i="63"/>
  <c r="K100" i="63"/>
  <c r="J100" i="63"/>
  <c r="I100" i="63"/>
  <c r="L100" i="63" s="1"/>
  <c r="M99" i="63"/>
  <c r="L99" i="63"/>
  <c r="K99" i="63"/>
  <c r="N99" i="63" s="1"/>
  <c r="J99" i="63"/>
  <c r="I99" i="63"/>
  <c r="K98" i="63"/>
  <c r="N98" i="63" s="1"/>
  <c r="J98" i="63"/>
  <c r="M98" i="63" s="1"/>
  <c r="F127" i="33" s="1"/>
  <c r="I98" i="63"/>
  <c r="L98" i="63" s="1"/>
  <c r="E127" i="33" s="1"/>
  <c r="M97" i="63"/>
  <c r="K97" i="63"/>
  <c r="N97" i="63" s="1"/>
  <c r="J97" i="63"/>
  <c r="I97" i="63"/>
  <c r="L97" i="63" s="1"/>
  <c r="N96" i="63"/>
  <c r="M96" i="63"/>
  <c r="K96" i="63"/>
  <c r="J96" i="63"/>
  <c r="I96" i="63"/>
  <c r="L96" i="63" s="1"/>
  <c r="M95" i="63"/>
  <c r="L95" i="63"/>
  <c r="K95" i="63"/>
  <c r="N95" i="63" s="1"/>
  <c r="J95" i="63"/>
  <c r="I95" i="63"/>
  <c r="K94" i="63"/>
  <c r="N94" i="63" s="1"/>
  <c r="J117" i="33" s="1"/>
  <c r="J94" i="63"/>
  <c r="M94" i="63" s="1"/>
  <c r="I94" i="63"/>
  <c r="L94" i="63" s="1"/>
  <c r="M93" i="63"/>
  <c r="K93" i="63"/>
  <c r="N93" i="63" s="1"/>
  <c r="J93" i="63"/>
  <c r="I93" i="63"/>
  <c r="L93" i="63" s="1"/>
  <c r="N92" i="63"/>
  <c r="M92" i="63"/>
  <c r="K92" i="63"/>
  <c r="J92" i="63"/>
  <c r="I92" i="63"/>
  <c r="L92" i="63" s="1"/>
  <c r="M91" i="63"/>
  <c r="L91" i="63"/>
  <c r="K91" i="63"/>
  <c r="N91" i="63" s="1"/>
  <c r="J91" i="63"/>
  <c r="I91" i="63"/>
  <c r="K90" i="63"/>
  <c r="N90" i="63" s="1"/>
  <c r="J90" i="63"/>
  <c r="M90" i="63" s="1"/>
  <c r="I90" i="63"/>
  <c r="L90" i="63" s="1"/>
  <c r="M89" i="63"/>
  <c r="K89" i="63"/>
  <c r="N89" i="63" s="1"/>
  <c r="J89" i="63"/>
  <c r="I89" i="63"/>
  <c r="L89" i="63" s="1"/>
  <c r="N88" i="63"/>
  <c r="M88" i="63"/>
  <c r="K88" i="63"/>
  <c r="J88" i="63"/>
  <c r="I88" i="63"/>
  <c r="L88" i="63" s="1"/>
  <c r="M87" i="63"/>
  <c r="L87" i="63"/>
  <c r="K87" i="63"/>
  <c r="N87" i="63" s="1"/>
  <c r="J87" i="63"/>
  <c r="I87" i="63"/>
  <c r="K86" i="63"/>
  <c r="N86" i="63" s="1"/>
  <c r="J86" i="63"/>
  <c r="M86" i="63" s="1"/>
  <c r="I86" i="63"/>
  <c r="L86" i="63" s="1"/>
  <c r="M85" i="63"/>
  <c r="K85" i="63"/>
  <c r="N85" i="63" s="1"/>
  <c r="J85" i="63"/>
  <c r="I85" i="63"/>
  <c r="L85" i="63" s="1"/>
  <c r="E108" i="33" s="1"/>
  <c r="N84" i="63"/>
  <c r="M84" i="63"/>
  <c r="K84" i="63"/>
  <c r="J84" i="63"/>
  <c r="I84" i="63"/>
  <c r="L84" i="63" s="1"/>
  <c r="M83" i="63"/>
  <c r="L83" i="63"/>
  <c r="K83" i="63"/>
  <c r="N83" i="63" s="1"/>
  <c r="J106" i="33" s="1"/>
  <c r="J83" i="63"/>
  <c r="I83" i="63"/>
  <c r="K82" i="63"/>
  <c r="N82" i="63" s="1"/>
  <c r="J82" i="63"/>
  <c r="M82" i="63" s="1"/>
  <c r="I82" i="63"/>
  <c r="L82" i="63" s="1"/>
  <c r="M81" i="63"/>
  <c r="K81" i="63"/>
  <c r="N81" i="63" s="1"/>
  <c r="J81" i="63"/>
  <c r="I81" i="63"/>
  <c r="L81" i="63" s="1"/>
  <c r="N80" i="63"/>
  <c r="M80" i="63"/>
  <c r="K80" i="63"/>
  <c r="J80" i="63"/>
  <c r="I80" i="63"/>
  <c r="L80" i="63" s="1"/>
  <c r="M79" i="63"/>
  <c r="L79" i="63"/>
  <c r="K79" i="63"/>
  <c r="N79" i="63" s="1"/>
  <c r="J79" i="63"/>
  <c r="I79" i="63"/>
  <c r="K78" i="63"/>
  <c r="N78" i="63" s="1"/>
  <c r="J78" i="63"/>
  <c r="M78" i="63" s="1"/>
  <c r="I78" i="63"/>
  <c r="L78" i="63" s="1"/>
  <c r="M77" i="63"/>
  <c r="K77" i="63"/>
  <c r="N77" i="63" s="1"/>
  <c r="J98" i="33" s="1"/>
  <c r="J77" i="63"/>
  <c r="I77" i="63"/>
  <c r="L77" i="63" s="1"/>
  <c r="N76" i="63"/>
  <c r="M76" i="63"/>
  <c r="K76" i="63"/>
  <c r="J76" i="63"/>
  <c r="I76" i="63"/>
  <c r="L76" i="63" s="1"/>
  <c r="M75" i="63"/>
  <c r="L75" i="63"/>
  <c r="K75" i="63"/>
  <c r="N75" i="63" s="1"/>
  <c r="J75" i="63"/>
  <c r="I75" i="63"/>
  <c r="K74" i="63"/>
  <c r="N74" i="63" s="1"/>
  <c r="J74" i="63"/>
  <c r="M74" i="63" s="1"/>
  <c r="I74" i="63"/>
  <c r="L74" i="63" s="1"/>
  <c r="M73" i="63"/>
  <c r="K73" i="63"/>
  <c r="N73" i="63" s="1"/>
  <c r="J73" i="63"/>
  <c r="I73" i="63"/>
  <c r="L73" i="63" s="1"/>
  <c r="N72" i="63"/>
  <c r="M72" i="63"/>
  <c r="K72" i="63"/>
  <c r="J72" i="63"/>
  <c r="I72" i="63"/>
  <c r="L72" i="63" s="1"/>
  <c r="E93" i="33" s="1"/>
  <c r="M71" i="63"/>
  <c r="L71" i="63"/>
  <c r="K71" i="63"/>
  <c r="N71" i="63" s="1"/>
  <c r="J71" i="63"/>
  <c r="I71" i="63"/>
  <c r="K70" i="63"/>
  <c r="N70" i="63" s="1"/>
  <c r="J70" i="63"/>
  <c r="M70" i="63" s="1"/>
  <c r="I70" i="63"/>
  <c r="L70" i="63" s="1"/>
  <c r="E91" i="33" s="1"/>
  <c r="M69" i="63"/>
  <c r="K69" i="63"/>
  <c r="N69" i="63" s="1"/>
  <c r="J69" i="63"/>
  <c r="I69" i="63"/>
  <c r="L69" i="63" s="1"/>
  <c r="N68" i="63"/>
  <c r="M68" i="63"/>
  <c r="K68" i="63"/>
  <c r="J68" i="63"/>
  <c r="I68" i="63"/>
  <c r="L68" i="63" s="1"/>
  <c r="M67" i="63"/>
  <c r="L67" i="63"/>
  <c r="K67" i="63"/>
  <c r="N67" i="63" s="1"/>
  <c r="J67" i="63"/>
  <c r="I67" i="63"/>
  <c r="K66" i="63"/>
  <c r="N66" i="63" s="1"/>
  <c r="J66" i="63"/>
  <c r="M66" i="63" s="1"/>
  <c r="F87" i="33" s="1"/>
  <c r="I66" i="63"/>
  <c r="L66" i="63" s="1"/>
  <c r="M65" i="63"/>
  <c r="K65" i="63"/>
  <c r="N65" i="63" s="1"/>
  <c r="J65" i="63"/>
  <c r="I65" i="63"/>
  <c r="L65" i="63" s="1"/>
  <c r="N64" i="63"/>
  <c r="M64" i="63"/>
  <c r="K64" i="63"/>
  <c r="J64" i="63"/>
  <c r="I64" i="63"/>
  <c r="L64" i="63" s="1"/>
  <c r="M63" i="63"/>
  <c r="L63" i="63"/>
  <c r="K63" i="63"/>
  <c r="N63" i="63" s="1"/>
  <c r="J63" i="63"/>
  <c r="I63" i="63"/>
  <c r="K62" i="63"/>
  <c r="N62" i="63" s="1"/>
  <c r="J83" i="33" s="1"/>
  <c r="J62" i="63"/>
  <c r="M62" i="63" s="1"/>
  <c r="I62" i="63"/>
  <c r="L62" i="63" s="1"/>
  <c r="M61" i="63"/>
  <c r="K61" i="63"/>
  <c r="N61" i="63" s="1"/>
  <c r="J61" i="63"/>
  <c r="I61" i="63"/>
  <c r="L61" i="63" s="1"/>
  <c r="N60" i="63"/>
  <c r="M60" i="63"/>
  <c r="K60" i="63"/>
  <c r="J60" i="63"/>
  <c r="I60" i="63"/>
  <c r="L60" i="63" s="1"/>
  <c r="M59" i="63"/>
  <c r="L59" i="63"/>
  <c r="K59" i="63"/>
  <c r="N59" i="63" s="1"/>
  <c r="J59" i="63"/>
  <c r="I59" i="63"/>
  <c r="T58" i="63"/>
  <c r="L58" i="63"/>
  <c r="K58" i="63"/>
  <c r="N58" i="63" s="1"/>
  <c r="J58" i="63"/>
  <c r="M58" i="63" s="1"/>
  <c r="I58" i="63"/>
  <c r="T57" i="63"/>
  <c r="K57" i="63"/>
  <c r="N57" i="63" s="1"/>
  <c r="J57" i="63"/>
  <c r="M57" i="63" s="1"/>
  <c r="F78" i="33" s="1"/>
  <c r="I57" i="63"/>
  <c r="L57" i="63" s="1"/>
  <c r="T56" i="63"/>
  <c r="N56" i="63"/>
  <c r="K56" i="63"/>
  <c r="J56" i="63"/>
  <c r="M56" i="63" s="1"/>
  <c r="I56" i="63"/>
  <c r="L56" i="63" s="1"/>
  <c r="T55" i="63"/>
  <c r="J55" i="63" s="1"/>
  <c r="M55" i="63" s="1"/>
  <c r="K55" i="63"/>
  <c r="N55" i="63" s="1"/>
  <c r="J76" i="33" s="1"/>
  <c r="I55" i="63"/>
  <c r="L55" i="63" s="1"/>
  <c r="N54" i="63"/>
  <c r="M54" i="63"/>
  <c r="K54" i="63"/>
  <c r="J54" i="63"/>
  <c r="I54" i="63"/>
  <c r="L54" i="63" s="1"/>
  <c r="M53" i="63"/>
  <c r="L53" i="63"/>
  <c r="K53" i="63"/>
  <c r="N53" i="63" s="1"/>
  <c r="J53" i="63"/>
  <c r="I53" i="63"/>
  <c r="K52" i="63"/>
  <c r="N52" i="63" s="1"/>
  <c r="J52" i="63"/>
  <c r="M52" i="63" s="1"/>
  <c r="I52" i="63"/>
  <c r="L52" i="63" s="1"/>
  <c r="M51" i="63"/>
  <c r="K51" i="63"/>
  <c r="N51" i="63" s="1"/>
  <c r="J72" i="33" s="1"/>
  <c r="J51" i="63"/>
  <c r="I51" i="63"/>
  <c r="L51" i="63" s="1"/>
  <c r="N50" i="63"/>
  <c r="M50" i="63"/>
  <c r="K50" i="63"/>
  <c r="J50" i="63"/>
  <c r="I50" i="63"/>
  <c r="L50" i="63" s="1"/>
  <c r="M49" i="63"/>
  <c r="L49" i="63"/>
  <c r="K49" i="63"/>
  <c r="N49" i="63" s="1"/>
  <c r="J49" i="63"/>
  <c r="I49" i="63"/>
  <c r="K48" i="63"/>
  <c r="N48" i="63" s="1"/>
  <c r="J48" i="63"/>
  <c r="M48" i="63" s="1"/>
  <c r="I48" i="63"/>
  <c r="L48" i="63" s="1"/>
  <c r="M47" i="63"/>
  <c r="K47" i="63"/>
  <c r="N47" i="63" s="1"/>
  <c r="J47" i="63"/>
  <c r="I47" i="63"/>
  <c r="L47" i="63" s="1"/>
  <c r="T46" i="63"/>
  <c r="J46" i="63" s="1"/>
  <c r="M46" i="63" s="1"/>
  <c r="N46" i="63"/>
  <c r="L46" i="63"/>
  <c r="K46" i="63"/>
  <c r="I46" i="63"/>
  <c r="N45" i="63"/>
  <c r="M45" i="63"/>
  <c r="L45" i="63"/>
  <c r="K45" i="63"/>
  <c r="J45" i="63"/>
  <c r="I45" i="63"/>
  <c r="L44" i="63"/>
  <c r="K44" i="63"/>
  <c r="N44" i="63" s="1"/>
  <c r="J63" i="33" s="1"/>
  <c r="J44" i="63"/>
  <c r="M44" i="63" s="1"/>
  <c r="I44" i="63"/>
  <c r="N43" i="63"/>
  <c r="K43" i="63"/>
  <c r="J43" i="63"/>
  <c r="M43" i="63" s="1"/>
  <c r="I43" i="63"/>
  <c r="L43" i="63" s="1"/>
  <c r="N42" i="63"/>
  <c r="L42" i="63"/>
  <c r="K42" i="63"/>
  <c r="J42" i="63"/>
  <c r="M42" i="63" s="1"/>
  <c r="I42" i="63"/>
  <c r="N41" i="63"/>
  <c r="M41" i="63"/>
  <c r="L41" i="63"/>
  <c r="K41" i="63"/>
  <c r="J41" i="63"/>
  <c r="I41" i="63"/>
  <c r="L40" i="63"/>
  <c r="K40" i="63"/>
  <c r="N40" i="63" s="1"/>
  <c r="J40" i="63"/>
  <c r="M40" i="63" s="1"/>
  <c r="I40" i="63"/>
  <c r="N39" i="63"/>
  <c r="K39" i="63"/>
  <c r="J39" i="63"/>
  <c r="M39" i="63" s="1"/>
  <c r="F58" i="33" s="1"/>
  <c r="I39" i="63"/>
  <c r="L39" i="63" s="1"/>
  <c r="N38" i="63"/>
  <c r="L38" i="63"/>
  <c r="K38" i="63"/>
  <c r="J38" i="63"/>
  <c r="M38" i="63" s="1"/>
  <c r="I38" i="63"/>
  <c r="N37" i="63"/>
  <c r="M37" i="63"/>
  <c r="L37" i="63"/>
  <c r="K37" i="63"/>
  <c r="J37" i="63"/>
  <c r="I37" i="63"/>
  <c r="L36" i="63"/>
  <c r="K36" i="63"/>
  <c r="N36" i="63" s="1"/>
  <c r="J36" i="63"/>
  <c r="M36" i="63" s="1"/>
  <c r="I36" i="63"/>
  <c r="T35" i="63"/>
  <c r="K35" i="63"/>
  <c r="N35" i="63" s="1"/>
  <c r="J35" i="63"/>
  <c r="M35" i="63" s="1"/>
  <c r="I35" i="63"/>
  <c r="L35" i="63" s="1"/>
  <c r="M34" i="63"/>
  <c r="K34" i="63"/>
  <c r="N34" i="63" s="1"/>
  <c r="J34" i="63"/>
  <c r="I34" i="63"/>
  <c r="L34" i="63" s="1"/>
  <c r="E53" i="33" s="1"/>
  <c r="K53" i="33" s="1"/>
  <c r="T33" i="63"/>
  <c r="J33" i="63" s="1"/>
  <c r="M33" i="63" s="1"/>
  <c r="N33" i="63"/>
  <c r="L33" i="63"/>
  <c r="K33" i="63"/>
  <c r="I33" i="63"/>
  <c r="T32" i="63"/>
  <c r="J32" i="63" s="1"/>
  <c r="M32" i="63" s="1"/>
  <c r="N32" i="63"/>
  <c r="K32" i="63"/>
  <c r="I32" i="63"/>
  <c r="L32" i="63" s="1"/>
  <c r="E51" i="33" s="1"/>
  <c r="K51" i="33" s="1"/>
  <c r="M31" i="63"/>
  <c r="L31" i="63"/>
  <c r="K31" i="63"/>
  <c r="N31" i="63" s="1"/>
  <c r="J31" i="63"/>
  <c r="I31" i="63"/>
  <c r="K30" i="63"/>
  <c r="N30" i="63" s="1"/>
  <c r="J30" i="63"/>
  <c r="M30" i="63" s="1"/>
  <c r="F49" i="33" s="1"/>
  <c r="I30" i="63"/>
  <c r="L30" i="63" s="1"/>
  <c r="E49" i="33" s="1"/>
  <c r="K49" i="33" s="1"/>
  <c r="T29" i="63"/>
  <c r="N29" i="63"/>
  <c r="K29" i="63"/>
  <c r="J29" i="63"/>
  <c r="M29" i="63" s="1"/>
  <c r="I29" i="63"/>
  <c r="L29" i="63" s="1"/>
  <c r="N28" i="63"/>
  <c r="L28" i="63"/>
  <c r="K28" i="63"/>
  <c r="J28" i="63"/>
  <c r="M28" i="63" s="1"/>
  <c r="I28" i="63"/>
  <c r="N27" i="63"/>
  <c r="M27" i="63"/>
  <c r="L27" i="63"/>
  <c r="K27" i="63"/>
  <c r="J27" i="63"/>
  <c r="I27" i="63"/>
  <c r="T26" i="63"/>
  <c r="J26" i="63" s="1"/>
  <c r="M26" i="63" s="1"/>
  <c r="L26" i="63"/>
  <c r="K26" i="63"/>
  <c r="N26" i="63" s="1"/>
  <c r="I26" i="63"/>
  <c r="K25" i="63"/>
  <c r="N25" i="63" s="1"/>
  <c r="J25" i="63"/>
  <c r="M25" i="63" s="1"/>
  <c r="I25" i="63"/>
  <c r="L25" i="63" s="1"/>
  <c r="E44" i="33" s="1"/>
  <c r="K44" i="33" s="1"/>
  <c r="M24" i="63"/>
  <c r="K24" i="63"/>
  <c r="N24" i="63" s="1"/>
  <c r="J24" i="63"/>
  <c r="I24" i="63"/>
  <c r="L24" i="63" s="1"/>
  <c r="N23" i="63"/>
  <c r="M23" i="63"/>
  <c r="K23" i="63"/>
  <c r="J23" i="63"/>
  <c r="I23" i="63"/>
  <c r="L23" i="63" s="1"/>
  <c r="M22" i="63"/>
  <c r="L22" i="63"/>
  <c r="K22" i="63"/>
  <c r="N22" i="63" s="1"/>
  <c r="J22" i="63"/>
  <c r="I22" i="63"/>
  <c r="K21" i="63"/>
  <c r="N21" i="63" s="1"/>
  <c r="J21" i="63"/>
  <c r="M21" i="63" s="1"/>
  <c r="F33" i="33" s="1"/>
  <c r="I21" i="63"/>
  <c r="L21" i="63" s="1"/>
  <c r="E33" i="33" s="1"/>
  <c r="M20" i="63"/>
  <c r="K20" i="63"/>
  <c r="N20" i="63" s="1"/>
  <c r="J20" i="63"/>
  <c r="I20" i="63"/>
  <c r="L20" i="63" s="1"/>
  <c r="N19" i="63"/>
  <c r="M19" i="63"/>
  <c r="K19" i="63"/>
  <c r="J19" i="63"/>
  <c r="I19" i="63"/>
  <c r="L19" i="63" s="1"/>
  <c r="M18" i="63"/>
  <c r="L18" i="63"/>
  <c r="K18" i="63"/>
  <c r="N18" i="63" s="1"/>
  <c r="J18" i="63"/>
  <c r="I18" i="63"/>
  <c r="N16" i="63"/>
  <c r="U15" i="63"/>
  <c r="N15" i="63"/>
  <c r="M15" i="63"/>
  <c r="N14" i="63"/>
  <c r="M14" i="63"/>
  <c r="N13" i="63"/>
  <c r="M13" i="63"/>
  <c r="N12" i="63"/>
  <c r="M12" i="63"/>
  <c r="N11" i="63"/>
  <c r="M11" i="63"/>
  <c r="N3" i="63"/>
  <c r="C34" i="62"/>
  <c r="C32" i="62"/>
  <c r="C31" i="62"/>
  <c r="C30" i="62"/>
  <c r="C29" i="62"/>
  <c r="D5" i="49" s="1"/>
  <c r="C8" i="62"/>
  <c r="C7" i="62"/>
  <c r="D6" i="62"/>
  <c r="C6" i="62" s="1"/>
  <c r="C5" i="62"/>
  <c r="E4" i="62"/>
  <c r="C4" i="62"/>
  <c r="E3" i="62"/>
  <c r="C3" i="62"/>
  <c r="C2" i="62"/>
  <c r="V202" i="61"/>
  <c r="N187" i="61"/>
  <c r="N182" i="61"/>
  <c r="N176" i="61"/>
  <c r="N165" i="61"/>
  <c r="N160" i="61"/>
  <c r="N154" i="61"/>
  <c r="R139" i="61"/>
  <c r="Q139" i="61"/>
  <c r="Q130" i="61"/>
  <c r="H129" i="61"/>
  <c r="H128" i="61"/>
  <c r="H127" i="61"/>
  <c r="Q121" i="61"/>
  <c r="Q118" i="61"/>
  <c r="H117" i="61"/>
  <c r="H116" i="61"/>
  <c r="H115" i="61"/>
  <c r="F109" i="61"/>
  <c r="AD103" i="61"/>
  <c r="AD97" i="61"/>
  <c r="AD92" i="61"/>
  <c r="F81" i="61"/>
  <c r="P72" i="61"/>
  <c r="D50" i="61"/>
  <c r="D48" i="61"/>
  <c r="D47" i="61"/>
  <c r="D51" i="61" s="1"/>
  <c r="I29" i="61"/>
  <c r="I23" i="61"/>
  <c r="O19" i="61"/>
  <c r="M19" i="61" a="1"/>
  <c r="M19" i="61" s="1"/>
  <c r="F19" i="61"/>
  <c r="O14" i="61"/>
  <c r="M14" i="61" a="1"/>
  <c r="M14" i="61"/>
  <c r="F14" i="61"/>
  <c r="E14" i="61"/>
  <c r="G13" i="61"/>
  <c r="E13" i="61"/>
  <c r="F13" i="56"/>
  <c r="E7" i="56"/>
  <c r="F2" i="56"/>
  <c r="P10" i="55" a="1"/>
  <c r="P10" i="55" s="1"/>
  <c r="M10" i="55"/>
  <c r="K8" i="55"/>
  <c r="L10" i="55" s="1"/>
  <c r="R10" i="55" s="1"/>
  <c r="E5" i="55"/>
  <c r="R2" i="55"/>
  <c r="P2" i="55" a="1"/>
  <c r="P2" i="55"/>
  <c r="M2" i="55"/>
  <c r="P10" i="54" a="1"/>
  <c r="P10" i="54" s="1"/>
  <c r="M10" i="54"/>
  <c r="L10" i="54"/>
  <c r="R10" i="54" s="1"/>
  <c r="F10" i="54"/>
  <c r="K8" i="54"/>
  <c r="J8" i="54"/>
  <c r="G8" i="54"/>
  <c r="F8" i="54"/>
  <c r="E5" i="54"/>
  <c r="R2" i="54"/>
  <c r="P2" i="54" a="1"/>
  <c r="P2" i="54"/>
  <c r="M2" i="54"/>
  <c r="N9" i="53" a="1"/>
  <c r="N9" i="53" s="1"/>
  <c r="J9" i="53"/>
  <c r="P9" i="53" s="1"/>
  <c r="E5" i="53"/>
  <c r="P2" i="53"/>
  <c r="N2" i="53" a="1"/>
  <c r="N2" i="53" s="1"/>
  <c r="G24" i="52"/>
  <c r="E24" i="52"/>
  <c r="G12" i="52"/>
  <c r="F12" i="52"/>
  <c r="F2" i="55" s="1"/>
  <c r="E12" i="52"/>
  <c r="D6" i="52"/>
  <c r="D5" i="52"/>
  <c r="BA115" i="51"/>
  <c r="BA114" i="51"/>
  <c r="BA113" i="51"/>
  <c r="BA102" i="51"/>
  <c r="BA100" i="51"/>
  <c r="BA99" i="51"/>
  <c r="I53" i="51"/>
  <c r="I52" i="51"/>
  <c r="H52" i="51"/>
  <c r="G52" i="51"/>
  <c r="J51" i="51"/>
  <c r="J45" i="51" s="1"/>
  <c r="E5" i="2" s="1"/>
  <c r="I51" i="51"/>
  <c r="I45" i="51" s="1"/>
  <c r="H51" i="51"/>
  <c r="G51" i="51"/>
  <c r="I50" i="51"/>
  <c r="J49" i="51"/>
  <c r="I49" i="51"/>
  <c r="I48" i="51"/>
  <c r="J47" i="51"/>
  <c r="I47" i="51"/>
  <c r="J46" i="51"/>
  <c r="I46" i="51"/>
  <c r="K45" i="51"/>
  <c r="E4" i="3" s="1"/>
  <c r="G44" i="51"/>
  <c r="H53" i="51" s="1"/>
  <c r="G36" i="51"/>
  <c r="E31" i="62" s="1"/>
  <c r="F36" i="51"/>
  <c r="AA16" i="63" s="1"/>
  <c r="F32" i="51"/>
  <c r="E32" i="51"/>
  <c r="F29" i="51"/>
  <c r="E29" i="51"/>
  <c r="L6" i="51"/>
  <c r="L5" i="51"/>
  <c r="L4" i="51"/>
  <c r="L3" i="51"/>
  <c r="I14" i="50"/>
  <c r="G14" i="50"/>
  <c r="G11" i="50"/>
  <c r="G10" i="50"/>
  <c r="G9" i="50"/>
  <c r="D6" i="50"/>
  <c r="E13" i="49"/>
  <c r="H12" i="49"/>
  <c r="E12" i="49"/>
  <c r="E11" i="49"/>
  <c r="E10" i="49"/>
  <c r="D6" i="49"/>
  <c r="M270" i="48"/>
  <c r="F269" i="48"/>
  <c r="M209" i="48"/>
  <c r="F208" i="48"/>
  <c r="M148" i="48"/>
  <c r="F147" i="48"/>
  <c r="F114" i="48"/>
  <c r="M87" i="48"/>
  <c r="F84" i="48"/>
  <c r="M24" i="48"/>
  <c r="F23" i="48"/>
  <c r="G17" i="48"/>
  <c r="F17" i="48"/>
  <c r="G16" i="48"/>
  <c r="F16" i="48"/>
  <c r="E14" i="48"/>
  <c r="N7" i="48"/>
  <c r="N4" i="48"/>
  <c r="N1" i="48"/>
  <c r="E42" i="47"/>
  <c r="E38" i="47"/>
  <c r="E35" i="47"/>
  <c r="E32" i="47"/>
  <c r="E31" i="47"/>
  <c r="E28" i="47"/>
  <c r="E25" i="47"/>
  <c r="E24" i="47"/>
  <c r="D15" i="47"/>
  <c r="D14" i="47"/>
  <c r="G17" i="46"/>
  <c r="E16" i="46"/>
  <c r="G14" i="46"/>
  <c r="E13" i="46"/>
  <c r="E12" i="46"/>
  <c r="D6" i="46"/>
  <c r="D5" i="46"/>
  <c r="I21" i="45"/>
  <c r="F21" i="45"/>
  <c r="I19" i="45"/>
  <c r="H19" i="45"/>
  <c r="G19" i="45"/>
  <c r="F19" i="45"/>
  <c r="E19" i="45"/>
  <c r="I18" i="45"/>
  <c r="E18" i="45"/>
  <c r="I17" i="45"/>
  <c r="E17" i="45"/>
  <c r="I16" i="45"/>
  <c r="E16" i="45"/>
  <c r="I15" i="45"/>
  <c r="E15" i="45"/>
  <c r="H14" i="45"/>
  <c r="G14" i="45"/>
  <c r="G11" i="45"/>
  <c r="G10" i="45"/>
  <c r="G9" i="45"/>
  <c r="D6" i="45"/>
  <c r="D5" i="45"/>
  <c r="F2" i="45"/>
  <c r="F6" i="44"/>
  <c r="F5" i="44"/>
  <c r="H57" i="43"/>
  <c r="H56" i="43"/>
  <c r="H55" i="43"/>
  <c r="I54" i="43"/>
  <c r="H53" i="43"/>
  <c r="H52" i="43"/>
  <c r="H51" i="43"/>
  <c r="H50" i="43"/>
  <c r="I49" i="43"/>
  <c r="H49" i="43" s="1"/>
  <c r="H47" i="43"/>
  <c r="H46" i="43"/>
  <c r="H45" i="43"/>
  <c r="I44" i="43"/>
  <c r="H44" i="43"/>
  <c r="H43" i="43"/>
  <c r="H42" i="43"/>
  <c r="H41" i="43"/>
  <c r="H40" i="43"/>
  <c r="I39" i="43"/>
  <c r="H39" i="43" s="1"/>
  <c r="H35" i="43"/>
  <c r="H34" i="43"/>
  <c r="H33" i="43"/>
  <c r="I32" i="43"/>
  <c r="H32" i="43"/>
  <c r="H31" i="43"/>
  <c r="H30" i="43"/>
  <c r="H29" i="43"/>
  <c r="I28" i="43"/>
  <c r="H28" i="43"/>
  <c r="H27" i="43"/>
  <c r="H26" i="43"/>
  <c r="H25" i="43"/>
  <c r="H24" i="43"/>
  <c r="H23" i="43"/>
  <c r="H22" i="43"/>
  <c r="H21" i="43"/>
  <c r="H20" i="43"/>
  <c r="H19" i="43"/>
  <c r="H18" i="43"/>
  <c r="H17" i="43"/>
  <c r="H16" i="43"/>
  <c r="I15" i="43"/>
  <c r="I36" i="43" s="1"/>
  <c r="H36" i="43" s="1"/>
  <c r="H11" i="43"/>
  <c r="F6" i="43"/>
  <c r="F5" i="43"/>
  <c r="F6" i="42"/>
  <c r="F5" i="42"/>
  <c r="H15" i="41"/>
  <c r="F6" i="41"/>
  <c r="F5" i="41"/>
  <c r="G28" i="40"/>
  <c r="G27" i="40"/>
  <c r="G26" i="40"/>
  <c r="D23" i="40"/>
  <c r="D22" i="40"/>
  <c r="D14" i="40"/>
  <c r="D13" i="40"/>
  <c r="D11" i="40"/>
  <c r="D10" i="40"/>
  <c r="D9" i="40"/>
  <c r="D7" i="40"/>
  <c r="D6" i="40"/>
  <c r="D4" i="40"/>
  <c r="D3" i="40"/>
  <c r="J12" i="39"/>
  <c r="I12" i="39"/>
  <c r="H12" i="39"/>
  <c r="G12" i="39"/>
  <c r="G9" i="39"/>
  <c r="G8" i="39"/>
  <c r="G7" i="39"/>
  <c r="D4" i="39"/>
  <c r="D3" i="39"/>
  <c r="E28" i="38"/>
  <c r="I27" i="38"/>
  <c r="I16" i="38" s="1"/>
  <c r="H27" i="38"/>
  <c r="H16" i="38" s="1"/>
  <c r="H12" i="38"/>
  <c r="H11" i="38"/>
  <c r="H10" i="38"/>
  <c r="E7" i="38"/>
  <c r="E33" i="37"/>
  <c r="I32" i="37"/>
  <c r="H32" i="37"/>
  <c r="H16" i="37" s="1"/>
  <c r="I16" i="37"/>
  <c r="H12" i="37"/>
  <c r="H11" i="37"/>
  <c r="H10" i="37"/>
  <c r="E7" i="37"/>
  <c r="I6" i="36"/>
  <c r="F2" i="36"/>
  <c r="E2" i="36"/>
  <c r="L12" i="35"/>
  <c r="L11" i="35"/>
  <c r="L10" i="35"/>
  <c r="I7" i="35"/>
  <c r="L3" i="35"/>
  <c r="F2" i="35"/>
  <c r="E2" i="35"/>
  <c r="V20" i="34"/>
  <c r="Q20" i="34"/>
  <c r="V17" i="34"/>
  <c r="Q17" i="34"/>
  <c r="E6" i="34"/>
  <c r="E5" i="34"/>
  <c r="J130" i="33"/>
  <c r="F130" i="33"/>
  <c r="E130" i="33"/>
  <c r="J129" i="33"/>
  <c r="F129" i="33"/>
  <c r="E129" i="33"/>
  <c r="J128" i="33"/>
  <c r="F128" i="33"/>
  <c r="E128" i="33"/>
  <c r="J127" i="33"/>
  <c r="J126" i="33"/>
  <c r="F126" i="33"/>
  <c r="E126" i="33"/>
  <c r="J123" i="33"/>
  <c r="F123" i="33"/>
  <c r="E123" i="33"/>
  <c r="E124" i="33" s="1"/>
  <c r="J120" i="33"/>
  <c r="F120" i="33"/>
  <c r="E120" i="33"/>
  <c r="E121" i="33" s="1"/>
  <c r="E118" i="33"/>
  <c r="F117" i="33"/>
  <c r="E117" i="33"/>
  <c r="J116" i="33"/>
  <c r="F116" i="33"/>
  <c r="E116" i="33"/>
  <c r="J115" i="33"/>
  <c r="F115" i="33"/>
  <c r="E115" i="33"/>
  <c r="J114" i="33"/>
  <c r="F114" i="33"/>
  <c r="E114" i="33"/>
  <c r="J113" i="33"/>
  <c r="F113" i="33"/>
  <c r="E113" i="33"/>
  <c r="J112" i="33"/>
  <c r="F112" i="33"/>
  <c r="E112" i="33"/>
  <c r="J111" i="33"/>
  <c r="F111" i="33"/>
  <c r="E111" i="33"/>
  <c r="J110" i="33"/>
  <c r="F110" i="33"/>
  <c r="E110" i="33"/>
  <c r="J109" i="33"/>
  <c r="F109" i="33"/>
  <c r="E109" i="33"/>
  <c r="J108" i="33"/>
  <c r="F108" i="33"/>
  <c r="J107" i="33"/>
  <c r="F107" i="33"/>
  <c r="E107" i="33"/>
  <c r="F106" i="33"/>
  <c r="E106" i="33"/>
  <c r="J105" i="33"/>
  <c r="F105" i="33"/>
  <c r="E105" i="33"/>
  <c r="J104" i="33"/>
  <c r="F104" i="33"/>
  <c r="E104" i="33"/>
  <c r="J103" i="33"/>
  <c r="F103" i="33"/>
  <c r="E103" i="33"/>
  <c r="J102" i="33"/>
  <c r="F102" i="33"/>
  <c r="E102" i="33"/>
  <c r="J99" i="33"/>
  <c r="F99" i="33"/>
  <c r="E99" i="33"/>
  <c r="E100" i="33" s="1"/>
  <c r="F98" i="33"/>
  <c r="E98" i="33"/>
  <c r="J97" i="33"/>
  <c r="F97" i="33"/>
  <c r="E97" i="33"/>
  <c r="J96" i="33"/>
  <c r="F96" i="33"/>
  <c r="E96" i="33"/>
  <c r="J95" i="33"/>
  <c r="F95" i="33"/>
  <c r="E95" i="33"/>
  <c r="J94" i="33"/>
  <c r="F94" i="33"/>
  <c r="E94" i="33"/>
  <c r="J93" i="33"/>
  <c r="F93" i="33"/>
  <c r="J92" i="33"/>
  <c r="F92" i="33"/>
  <c r="E92" i="33"/>
  <c r="J91" i="33"/>
  <c r="F91" i="33"/>
  <c r="J90" i="33"/>
  <c r="F90" i="33"/>
  <c r="E90" i="33"/>
  <c r="J89" i="33"/>
  <c r="F89" i="33"/>
  <c r="E89" i="33"/>
  <c r="J88" i="33"/>
  <c r="F88" i="33"/>
  <c r="E88" i="33"/>
  <c r="J87" i="33"/>
  <c r="I87" i="33"/>
  <c r="H87" i="33"/>
  <c r="E87" i="33"/>
  <c r="J86" i="33"/>
  <c r="F86" i="33"/>
  <c r="E86" i="33"/>
  <c r="J85" i="33"/>
  <c r="F85" i="33"/>
  <c r="E85" i="33"/>
  <c r="J84" i="33"/>
  <c r="F84" i="33"/>
  <c r="E84" i="33"/>
  <c r="F83" i="33"/>
  <c r="E83" i="33"/>
  <c r="J82" i="33"/>
  <c r="F82" i="33"/>
  <c r="E82" i="33"/>
  <c r="J81" i="33"/>
  <c r="F81" i="33"/>
  <c r="E81" i="33"/>
  <c r="J80" i="33"/>
  <c r="F80" i="33"/>
  <c r="E80" i="33"/>
  <c r="J79" i="33"/>
  <c r="F79" i="33"/>
  <c r="E79" i="33"/>
  <c r="J78" i="33"/>
  <c r="E78" i="33"/>
  <c r="J77" i="33"/>
  <c r="F77" i="33"/>
  <c r="E77" i="33"/>
  <c r="F76" i="33"/>
  <c r="E76" i="33"/>
  <c r="J75" i="33"/>
  <c r="F75" i="33"/>
  <c r="E75" i="33"/>
  <c r="J74" i="33"/>
  <c r="F74" i="33"/>
  <c r="E74" i="33"/>
  <c r="J73" i="33"/>
  <c r="F73" i="33"/>
  <c r="E73" i="33"/>
  <c r="F72" i="33"/>
  <c r="E72" i="33"/>
  <c r="J69" i="33"/>
  <c r="I69" i="33"/>
  <c r="H69" i="33"/>
  <c r="F69" i="33"/>
  <c r="E69" i="33"/>
  <c r="E70" i="33" s="1"/>
  <c r="K70" i="33" s="1"/>
  <c r="L68" i="33"/>
  <c r="J68" i="33"/>
  <c r="F68" i="33"/>
  <c r="E68" i="33"/>
  <c r="K68" i="33" s="1"/>
  <c r="K67" i="33"/>
  <c r="J67" i="33"/>
  <c r="F67" i="33"/>
  <c r="E67" i="33"/>
  <c r="J66" i="33"/>
  <c r="L66" i="33" s="1"/>
  <c r="F66" i="33"/>
  <c r="E66" i="33"/>
  <c r="K66" i="33" s="1"/>
  <c r="K65" i="33"/>
  <c r="J65" i="33"/>
  <c r="F65" i="33"/>
  <c r="E65" i="33"/>
  <c r="J64" i="33"/>
  <c r="F64" i="33"/>
  <c r="E64" i="33"/>
  <c r="K64" i="33" s="1"/>
  <c r="K63" i="33"/>
  <c r="F63" i="33"/>
  <c r="E63" i="33"/>
  <c r="J62" i="33"/>
  <c r="F62" i="33"/>
  <c r="E62" i="33"/>
  <c r="K62" i="33" s="1"/>
  <c r="K61" i="33"/>
  <c r="J61" i="33"/>
  <c r="F61" i="33"/>
  <c r="E61" i="33"/>
  <c r="J60" i="33"/>
  <c r="F60" i="33"/>
  <c r="E60" i="33"/>
  <c r="K60" i="33" s="1"/>
  <c r="K59" i="33"/>
  <c r="J59" i="33"/>
  <c r="F59" i="33"/>
  <c r="E59" i="33"/>
  <c r="J58" i="33"/>
  <c r="E58" i="33"/>
  <c r="K58" i="33" s="1"/>
  <c r="K57" i="33"/>
  <c r="J57" i="33"/>
  <c r="F57" i="33"/>
  <c r="E57" i="33"/>
  <c r="J56" i="33"/>
  <c r="F56" i="33"/>
  <c r="E56" i="33"/>
  <c r="K56" i="33" s="1"/>
  <c r="K55" i="33"/>
  <c r="J55" i="33"/>
  <c r="F55" i="33"/>
  <c r="E55" i="33"/>
  <c r="J54" i="33"/>
  <c r="F54" i="33"/>
  <c r="E54" i="33"/>
  <c r="K54" i="33" s="1"/>
  <c r="J53" i="33"/>
  <c r="F53" i="33"/>
  <c r="J52" i="33"/>
  <c r="F52" i="33"/>
  <c r="E52" i="33"/>
  <c r="K52" i="33" s="1"/>
  <c r="J51" i="33"/>
  <c r="F51" i="33"/>
  <c r="J50" i="33"/>
  <c r="F50" i="33"/>
  <c r="E50" i="33"/>
  <c r="K50" i="33" s="1"/>
  <c r="J49" i="33"/>
  <c r="J48" i="33"/>
  <c r="F48" i="33"/>
  <c r="E48" i="33"/>
  <c r="K48" i="33" s="1"/>
  <c r="K47" i="33"/>
  <c r="J47" i="33"/>
  <c r="F47" i="33"/>
  <c r="E47" i="33"/>
  <c r="J46" i="33"/>
  <c r="F46" i="33"/>
  <c r="E46" i="33"/>
  <c r="K46" i="33" s="1"/>
  <c r="K45" i="33"/>
  <c r="J45" i="33"/>
  <c r="F45" i="33"/>
  <c r="E45" i="33"/>
  <c r="J44" i="33"/>
  <c r="F44" i="33"/>
  <c r="K43" i="33"/>
  <c r="J43" i="33"/>
  <c r="F43" i="33"/>
  <c r="E43" i="33"/>
  <c r="J42" i="33"/>
  <c r="F42" i="33"/>
  <c r="E42" i="33"/>
  <c r="K42" i="33" s="1"/>
  <c r="K41" i="33"/>
  <c r="J41" i="33"/>
  <c r="F41" i="33"/>
  <c r="E41" i="33"/>
  <c r="K40" i="33"/>
  <c r="K39" i="33"/>
  <c r="K38" i="33"/>
  <c r="K37" i="33"/>
  <c r="K36" i="33"/>
  <c r="K35" i="33"/>
  <c r="K34" i="33"/>
  <c r="J33" i="33"/>
  <c r="I33" i="33"/>
  <c r="H33" i="33"/>
  <c r="K32" i="33"/>
  <c r="J32" i="33"/>
  <c r="F32" i="33"/>
  <c r="E32" i="33"/>
  <c r="J31" i="33"/>
  <c r="F31" i="33"/>
  <c r="E31" i="33"/>
  <c r="J30" i="33"/>
  <c r="F30" i="33"/>
  <c r="E30" i="33"/>
  <c r="H27" i="33"/>
  <c r="H26" i="33"/>
  <c r="H25" i="33"/>
  <c r="E22" i="33"/>
  <c r="E21" i="33"/>
  <c r="E7" i="33"/>
  <c r="E6" i="33"/>
  <c r="E5" i="33"/>
  <c r="E4" i="33"/>
  <c r="I3" i="33"/>
  <c r="H3" i="33"/>
  <c r="E2" i="33"/>
  <c r="BF63" i="32"/>
  <c r="BF62" i="32"/>
  <c r="BF61" i="32"/>
  <c r="BF60" i="32"/>
  <c r="BF59" i="32"/>
  <c r="BF58" i="32"/>
  <c r="BF57" i="32"/>
  <c r="BF56" i="32"/>
  <c r="BB56" i="32"/>
  <c r="AW56" i="32"/>
  <c r="AU56" i="32"/>
  <c r="Y56" i="32"/>
  <c r="W56" i="32"/>
  <c r="BF52" i="32"/>
  <c r="BF51" i="32"/>
  <c r="J51" i="32"/>
  <c r="BF50" i="32"/>
  <c r="I50" i="32"/>
  <c r="BF49" i="32"/>
  <c r="BF48" i="32"/>
  <c r="BF47" i="32"/>
  <c r="BF46" i="32"/>
  <c r="BC46" i="32"/>
  <c r="AW45" i="32"/>
  <c r="AX45" i="32" s="1"/>
  <c r="AY45" i="32" s="1"/>
  <c r="BA45" i="32" s="1"/>
  <c r="BB45" i="32" s="1"/>
  <c r="BC45" i="32" s="1"/>
  <c r="U45" i="32"/>
  <c r="V45" i="32" s="1"/>
  <c r="W45" i="32" s="1"/>
  <c r="X45" i="32" s="1"/>
  <c r="Y45" i="32" s="1"/>
  <c r="Z45" i="32" s="1"/>
  <c r="AA45" i="32" s="1"/>
  <c r="AC45" i="32" s="1"/>
  <c r="AD45" i="32" s="1"/>
  <c r="AD37" i="32"/>
  <c r="V37" i="32"/>
  <c r="AD36" i="32"/>
  <c r="V36" i="32"/>
  <c r="AD34" i="32"/>
  <c r="V34" i="32"/>
  <c r="AD33" i="32"/>
  <c r="V33" i="32"/>
  <c r="AD32" i="32"/>
  <c r="V32" i="32"/>
  <c r="AD31" i="32"/>
  <c r="V31" i="32"/>
  <c r="S29" i="32"/>
  <c r="S28" i="32"/>
  <c r="BF18" i="32"/>
  <c r="BF17" i="32"/>
  <c r="BF16" i="32"/>
  <c r="BF15" i="32"/>
  <c r="BF14" i="32"/>
  <c r="BF13" i="32"/>
  <c r="BF12" i="32"/>
  <c r="BB12" i="32"/>
  <c r="AW12" i="32"/>
  <c r="AU12" i="32"/>
  <c r="Y12" i="32"/>
  <c r="W12" i="32"/>
  <c r="BF8" i="32"/>
  <c r="BF7" i="32"/>
  <c r="J7" i="32"/>
  <c r="BF6" i="32"/>
  <c r="I6" i="32"/>
  <c r="BF5" i="32"/>
  <c r="BF4" i="32"/>
  <c r="AD4" i="32"/>
  <c r="S4" i="32"/>
  <c r="K8" i="32" s="1"/>
  <c r="S8" i="32" s="1"/>
  <c r="BF3" i="32"/>
  <c r="AD3" i="32"/>
  <c r="S3" i="32"/>
  <c r="BF2" i="32"/>
  <c r="BC2" i="32"/>
  <c r="AD2" i="32"/>
  <c r="S2" i="32"/>
  <c r="AV54" i="31"/>
  <c r="AV53" i="31"/>
  <c r="AV52" i="31"/>
  <c r="AV51" i="31"/>
  <c r="AV50" i="31"/>
  <c r="AV49" i="31"/>
  <c r="AV48" i="31"/>
  <c r="AM48" i="31"/>
  <c r="AB48" i="31"/>
  <c r="AV47" i="31"/>
  <c r="AT47" i="31"/>
  <c r="AS47" i="31"/>
  <c r="AV46" i="31"/>
  <c r="AV45" i="31"/>
  <c r="AV44" i="31"/>
  <c r="AV43" i="31"/>
  <c r="AV42" i="31"/>
  <c r="AS42" i="31"/>
  <c r="AM41" i="31"/>
  <c r="AN41" i="31" s="1"/>
  <c r="AO41" i="31" s="1"/>
  <c r="AQ41" i="31" s="1"/>
  <c r="AR41" i="31" s="1"/>
  <c r="AS41" i="31" s="1"/>
  <c r="AB41" i="31"/>
  <c r="AC41" i="31" s="1"/>
  <c r="AD41" i="31" s="1"/>
  <c r="AF41" i="31" s="1"/>
  <c r="AG41" i="31" s="1"/>
  <c r="U41" i="31"/>
  <c r="V41" i="31" s="1"/>
  <c r="AG33" i="31"/>
  <c r="V33" i="31"/>
  <c r="AG32" i="31"/>
  <c r="V32" i="31"/>
  <c r="AG30" i="31"/>
  <c r="V30" i="31"/>
  <c r="AG29" i="31"/>
  <c r="V29" i="31"/>
  <c r="AG28" i="31"/>
  <c r="V28" i="31"/>
  <c r="AG27" i="31"/>
  <c r="V27" i="31"/>
  <c r="S25" i="31"/>
  <c r="S24" i="31"/>
  <c r="AM16" i="31"/>
  <c r="AV13" i="31"/>
  <c r="AV12" i="31"/>
  <c r="AV11" i="31"/>
  <c r="AV10" i="31"/>
  <c r="AV9" i="31"/>
  <c r="AV8" i="31"/>
  <c r="AM8" i="31"/>
  <c r="AB8" i="31"/>
  <c r="AV7" i="31"/>
  <c r="AT7" i="31"/>
  <c r="AS7" i="31"/>
  <c r="AV6" i="31"/>
  <c r="AV5" i="31"/>
  <c r="AV4" i="31"/>
  <c r="AG4" i="31"/>
  <c r="S4" i="31"/>
  <c r="I5" i="31" s="1"/>
  <c r="AV3" i="31"/>
  <c r="AG3" i="31"/>
  <c r="S3" i="31"/>
  <c r="AV2" i="31"/>
  <c r="AS2" i="31"/>
  <c r="AG2" i="31"/>
  <c r="S2" i="31"/>
  <c r="AV54" i="30"/>
  <c r="AV53" i="30"/>
  <c r="AV52" i="30"/>
  <c r="AV51" i="30"/>
  <c r="AV50" i="30"/>
  <c r="AV49" i="30"/>
  <c r="AV48" i="30"/>
  <c r="AV47" i="30"/>
  <c r="AT47" i="30"/>
  <c r="AS47" i="30"/>
  <c r="AV46" i="30"/>
  <c r="AV45" i="30"/>
  <c r="AV44" i="30"/>
  <c r="AV43" i="30"/>
  <c r="AV42" i="30"/>
  <c r="AS42" i="30"/>
  <c r="AM41" i="30"/>
  <c r="AN41" i="30" s="1"/>
  <c r="AO41" i="30" s="1"/>
  <c r="AQ41" i="30" s="1"/>
  <c r="AR41" i="30" s="1"/>
  <c r="AS41" i="30" s="1"/>
  <c r="AC41" i="30"/>
  <c r="AD41" i="30" s="1"/>
  <c r="AF41" i="30" s="1"/>
  <c r="AG41" i="30" s="1"/>
  <c r="U41" i="30"/>
  <c r="V41" i="30" s="1"/>
  <c r="AG33" i="30"/>
  <c r="V33" i="30"/>
  <c r="AG32" i="30"/>
  <c r="V32" i="30"/>
  <c r="AG30" i="30"/>
  <c r="V30" i="30"/>
  <c r="AG29" i="30"/>
  <c r="V29" i="30"/>
  <c r="AG28" i="30"/>
  <c r="V28" i="30"/>
  <c r="AG27" i="30"/>
  <c r="V27" i="30"/>
  <c r="S25" i="30"/>
  <c r="S24" i="30"/>
  <c r="AV13" i="30"/>
  <c r="AV12" i="30"/>
  <c r="AV11" i="30"/>
  <c r="AV10" i="30"/>
  <c r="AV9" i="30"/>
  <c r="AV8" i="30"/>
  <c r="AV7" i="30"/>
  <c r="AT7" i="30"/>
  <c r="AS7" i="30"/>
  <c r="AV6" i="30"/>
  <c r="AV5" i="30"/>
  <c r="AV4" i="30"/>
  <c r="AG4" i="30"/>
  <c r="S4" i="30"/>
  <c r="I5" i="30" s="1"/>
  <c r="J6" i="30" s="1"/>
  <c r="S6" i="30" s="1"/>
  <c r="AV3" i="30"/>
  <c r="AG3" i="30"/>
  <c r="S3" i="30"/>
  <c r="AV2" i="30"/>
  <c r="AS2" i="30"/>
  <c r="AG2" i="30"/>
  <c r="S2" i="30"/>
  <c r="BF63" i="29"/>
  <c r="BF62" i="29"/>
  <c r="BF61" i="29"/>
  <c r="BF60" i="29"/>
  <c r="BF59" i="29"/>
  <c r="BF58" i="29"/>
  <c r="BF57" i="29"/>
  <c r="BF56" i="29"/>
  <c r="BB56" i="29"/>
  <c r="AW56" i="29"/>
  <c r="AU56" i="29"/>
  <c r="Y56" i="29"/>
  <c r="W56" i="29"/>
  <c r="BF52" i="29"/>
  <c r="BF51" i="29"/>
  <c r="J51" i="29"/>
  <c r="BF50" i="29"/>
  <c r="I50" i="29"/>
  <c r="BF49" i="29"/>
  <c r="BF48" i="29"/>
  <c r="BF47" i="29"/>
  <c r="BF46" i="29"/>
  <c r="BC46" i="29"/>
  <c r="AW45" i="29"/>
  <c r="AX45" i="29" s="1"/>
  <c r="AY45" i="29" s="1"/>
  <c r="BA45" i="29" s="1"/>
  <c r="BB45" i="29" s="1"/>
  <c r="BC45" i="29" s="1"/>
  <c r="U45" i="29"/>
  <c r="V45" i="29" s="1"/>
  <c r="W45" i="29" s="1"/>
  <c r="X45" i="29" s="1"/>
  <c r="Y45" i="29" s="1"/>
  <c r="Z45" i="29" s="1"/>
  <c r="AA45" i="29" s="1"/>
  <c r="AC45" i="29" s="1"/>
  <c r="AD45" i="29" s="1"/>
  <c r="AD37" i="29"/>
  <c r="V37" i="29"/>
  <c r="AD36" i="29"/>
  <c r="V36" i="29"/>
  <c r="AD34" i="29"/>
  <c r="V34" i="29"/>
  <c r="AD33" i="29"/>
  <c r="V33" i="29"/>
  <c r="AD32" i="29"/>
  <c r="V32" i="29"/>
  <c r="AD31" i="29"/>
  <c r="V31" i="29"/>
  <c r="S29" i="29"/>
  <c r="S28" i="29"/>
  <c r="BF18" i="29"/>
  <c r="BF17" i="29"/>
  <c r="BF16" i="29"/>
  <c r="BF15" i="29"/>
  <c r="BF14" i="29"/>
  <c r="BF13" i="29"/>
  <c r="BF12" i="29"/>
  <c r="BB12" i="29"/>
  <c r="AW12" i="29"/>
  <c r="AU12" i="29"/>
  <c r="Y12" i="29"/>
  <c r="W12" i="29"/>
  <c r="BF8" i="29"/>
  <c r="BF7" i="29"/>
  <c r="J7" i="29"/>
  <c r="BF6" i="29"/>
  <c r="I6" i="29"/>
  <c r="BF5" i="29"/>
  <c r="BF4" i="29"/>
  <c r="AD4" i="29"/>
  <c r="S4" i="29"/>
  <c r="K8" i="29" s="1"/>
  <c r="S8" i="29" s="1"/>
  <c r="BF3" i="29"/>
  <c r="AD3" i="29"/>
  <c r="S3" i="29"/>
  <c r="BF2" i="29"/>
  <c r="BC2" i="29"/>
  <c r="AD2" i="29"/>
  <c r="S2" i="29"/>
  <c r="AN53" i="28"/>
  <c r="AN52" i="28"/>
  <c r="AN51" i="28"/>
  <c r="AN50" i="28"/>
  <c r="AN49" i="28"/>
  <c r="AN48" i="28"/>
  <c r="AN47" i="28"/>
  <c r="AE47" i="28"/>
  <c r="X47" i="28"/>
  <c r="AN46" i="28"/>
  <c r="AL46" i="28"/>
  <c r="AK46" i="28"/>
  <c r="AN45" i="28"/>
  <c r="AN44" i="28"/>
  <c r="AN43" i="28"/>
  <c r="AN42" i="28"/>
  <c r="AN41" i="28"/>
  <c r="AK41" i="28"/>
  <c r="U40" i="28"/>
  <c r="V40" i="28" s="1"/>
  <c r="W40" i="28" s="1"/>
  <c r="X40" i="28" s="1"/>
  <c r="Y40" i="28" s="1"/>
  <c r="Z40" i="28" s="1"/>
  <c r="AB40" i="28" s="1"/>
  <c r="AC40" i="28" s="1"/>
  <c r="AD40" i="28" s="1"/>
  <c r="AE40" i="28" s="1"/>
  <c r="AF40" i="28" s="1"/>
  <c r="AG40" i="28" s="1"/>
  <c r="AI40" i="28" s="1"/>
  <c r="AJ40" i="28" s="1"/>
  <c r="AK40" i="28" s="1"/>
  <c r="AC33" i="28"/>
  <c r="V33" i="28"/>
  <c r="AC32" i="28"/>
  <c r="V32" i="28"/>
  <c r="AC30" i="28"/>
  <c r="V30" i="28"/>
  <c r="AC29" i="28"/>
  <c r="V29" i="28"/>
  <c r="AC28" i="28"/>
  <c r="V28" i="28"/>
  <c r="AC27" i="28"/>
  <c r="V27" i="28"/>
  <c r="S25" i="28"/>
  <c r="S24" i="28"/>
  <c r="AE16" i="28"/>
  <c r="AN13" i="28"/>
  <c r="AN12" i="28"/>
  <c r="AN11" i="28"/>
  <c r="AN10" i="28"/>
  <c r="AN9" i="28"/>
  <c r="AN8" i="28"/>
  <c r="AE8" i="28"/>
  <c r="X8" i="28"/>
  <c r="AN7" i="28"/>
  <c r="AL7" i="28"/>
  <c r="AK7" i="28"/>
  <c r="AN6" i="28"/>
  <c r="S6" i="28"/>
  <c r="AN5" i="28"/>
  <c r="I5" i="28"/>
  <c r="J6" i="28" s="1"/>
  <c r="K7" i="28" s="1"/>
  <c r="S7" i="28" s="1"/>
  <c r="AN4" i="28"/>
  <c r="AC4" i="28"/>
  <c r="S4" i="28"/>
  <c r="AN3" i="28"/>
  <c r="AC3" i="28"/>
  <c r="S3" i="28"/>
  <c r="AN2" i="28"/>
  <c r="AK2" i="28"/>
  <c r="AC2" i="28"/>
  <c r="S2" i="28"/>
  <c r="AN53" i="27"/>
  <c r="AN52" i="27"/>
  <c r="AN51" i="27"/>
  <c r="AN50" i="27"/>
  <c r="AN49" i="27"/>
  <c r="AN48" i="27"/>
  <c r="AN47" i="27"/>
  <c r="AE47" i="27"/>
  <c r="X47" i="27"/>
  <c r="AN46" i="27"/>
  <c r="AL46" i="27"/>
  <c r="AK46" i="27"/>
  <c r="AN45" i="27"/>
  <c r="AN44" i="27"/>
  <c r="AN43" i="27"/>
  <c r="AN42" i="27"/>
  <c r="AN41" i="27"/>
  <c r="AK41" i="27"/>
  <c r="U40" i="27"/>
  <c r="V40" i="27" s="1"/>
  <c r="W40" i="27" s="1"/>
  <c r="X40" i="27" s="1"/>
  <c r="Y40" i="27" s="1"/>
  <c r="Z40" i="27" s="1"/>
  <c r="AB40" i="27" s="1"/>
  <c r="AC40" i="27" s="1"/>
  <c r="AD40" i="27" s="1"/>
  <c r="AE40" i="27" s="1"/>
  <c r="AF40" i="27" s="1"/>
  <c r="AG40" i="27" s="1"/>
  <c r="AI40" i="27" s="1"/>
  <c r="AJ40" i="27" s="1"/>
  <c r="AK40" i="27" s="1"/>
  <c r="AC33" i="27"/>
  <c r="V33" i="27"/>
  <c r="AC32" i="27"/>
  <c r="V32" i="27"/>
  <c r="AC30" i="27"/>
  <c r="V30" i="27"/>
  <c r="AC29" i="27"/>
  <c r="V29" i="27"/>
  <c r="AC28" i="27"/>
  <c r="V28" i="27"/>
  <c r="AC27" i="27"/>
  <c r="V27" i="27"/>
  <c r="S25" i="27"/>
  <c r="S24" i="27"/>
  <c r="AE16" i="27"/>
  <c r="AN13" i="27"/>
  <c r="AN12" i="27"/>
  <c r="AN11" i="27"/>
  <c r="AN10" i="27"/>
  <c r="AN9" i="27"/>
  <c r="AN8" i="27"/>
  <c r="AE8" i="27"/>
  <c r="X8" i="27"/>
  <c r="AN7" i="27"/>
  <c r="AL7" i="27"/>
  <c r="AK7" i="27"/>
  <c r="K7" i="27"/>
  <c r="S7" i="27" s="1"/>
  <c r="AN6" i="27"/>
  <c r="AN5" i="27"/>
  <c r="S5" i="27"/>
  <c r="AN4" i="27"/>
  <c r="AC4" i="27"/>
  <c r="S4" i="27"/>
  <c r="I5" i="27" s="1"/>
  <c r="J6" i="27" s="1"/>
  <c r="S6" i="27" s="1"/>
  <c r="AN3" i="27"/>
  <c r="AC3" i="27"/>
  <c r="S3" i="27"/>
  <c r="AN2" i="27"/>
  <c r="AK2" i="27"/>
  <c r="AC2" i="27"/>
  <c r="S2" i="27"/>
  <c r="BF63" i="26"/>
  <c r="BF62" i="26"/>
  <c r="BF61" i="26"/>
  <c r="BF60" i="26"/>
  <c r="BF59" i="26"/>
  <c r="BF58" i="26"/>
  <c r="BF57" i="26"/>
  <c r="BF56" i="26"/>
  <c r="BB56" i="26"/>
  <c r="AW56" i="26"/>
  <c r="AU56" i="26"/>
  <c r="Y56" i="26"/>
  <c r="W56" i="26"/>
  <c r="BF52" i="26"/>
  <c r="BF51" i="26"/>
  <c r="J51" i="26"/>
  <c r="BF50" i="26"/>
  <c r="I50" i="26"/>
  <c r="BF49" i="26"/>
  <c r="BF48" i="26"/>
  <c r="BF47" i="26"/>
  <c r="BF46" i="26"/>
  <c r="BC46" i="26"/>
  <c r="AW45" i="26"/>
  <c r="AX45" i="26" s="1"/>
  <c r="AY45" i="26" s="1"/>
  <c r="BA45" i="26" s="1"/>
  <c r="BB45" i="26" s="1"/>
  <c r="BC45" i="26" s="1"/>
  <c r="U45" i="26"/>
  <c r="V45" i="26" s="1"/>
  <c r="W45" i="26" s="1"/>
  <c r="X45" i="26" s="1"/>
  <c r="Y45" i="26" s="1"/>
  <c r="Z45" i="26" s="1"/>
  <c r="AA45" i="26" s="1"/>
  <c r="AC45" i="26" s="1"/>
  <c r="AD45" i="26" s="1"/>
  <c r="AD37" i="26"/>
  <c r="V37" i="26"/>
  <c r="AD36" i="26"/>
  <c r="V36" i="26"/>
  <c r="AD34" i="26"/>
  <c r="V34" i="26"/>
  <c r="AD33" i="26"/>
  <c r="V33" i="26"/>
  <c r="AD32" i="26"/>
  <c r="V32" i="26"/>
  <c r="AD31" i="26"/>
  <c r="V31" i="26"/>
  <c r="S29" i="26"/>
  <c r="S28" i="26"/>
  <c r="BF18" i="26"/>
  <c r="BF17" i="26"/>
  <c r="BF16" i="26"/>
  <c r="BF15" i="26"/>
  <c r="BF14" i="26"/>
  <c r="BF13" i="26"/>
  <c r="BF12" i="26"/>
  <c r="BB12" i="26"/>
  <c r="AW12" i="26"/>
  <c r="AU12" i="26"/>
  <c r="Y12" i="26"/>
  <c r="W12" i="26"/>
  <c r="BF8" i="26"/>
  <c r="BF7" i="26"/>
  <c r="J7" i="26"/>
  <c r="BF6" i="26"/>
  <c r="I6" i="26"/>
  <c r="BF5" i="26"/>
  <c r="BF4" i="26"/>
  <c r="AD4" i="26"/>
  <c r="S4" i="26"/>
  <c r="K8" i="26" s="1"/>
  <c r="S8" i="26" s="1"/>
  <c r="BF3" i="26"/>
  <c r="AD3" i="26"/>
  <c r="S3" i="26"/>
  <c r="BF2" i="26"/>
  <c r="BC2" i="26"/>
  <c r="AD2" i="26"/>
  <c r="S2" i="26"/>
  <c r="AN56" i="25"/>
  <c r="AN55" i="25"/>
  <c r="AN54" i="25"/>
  <c r="AN53" i="25"/>
  <c r="AN52" i="25"/>
  <c r="AN51" i="25"/>
  <c r="AN50" i="25"/>
  <c r="AN49" i="25"/>
  <c r="AN48" i="25"/>
  <c r="AL48" i="25"/>
  <c r="AN47" i="25"/>
  <c r="AN46" i="25"/>
  <c r="AN45" i="25"/>
  <c r="AN44" i="25"/>
  <c r="AN43" i="25"/>
  <c r="AN42" i="25"/>
  <c r="AK42" i="25"/>
  <c r="AD41" i="25"/>
  <c r="AE41" i="25" s="1"/>
  <c r="AF41" i="25" s="1"/>
  <c r="AG41" i="25" s="1"/>
  <c r="AI41" i="25" s="1"/>
  <c r="AJ41" i="25" s="1"/>
  <c r="AK41" i="25" s="1"/>
  <c r="U41" i="25"/>
  <c r="V41" i="25" s="1"/>
  <c r="W41" i="25" s="1"/>
  <c r="X41" i="25" s="1"/>
  <c r="Y41" i="25" s="1"/>
  <c r="AA41" i="25" s="1"/>
  <c r="V39" i="25"/>
  <c r="V33" i="25"/>
  <c r="V32" i="25"/>
  <c r="V30" i="25"/>
  <c r="V29" i="25"/>
  <c r="V28" i="25"/>
  <c r="V27" i="25"/>
  <c r="S25" i="25"/>
  <c r="S24" i="25"/>
  <c r="AN14" i="25"/>
  <c r="AN13" i="25"/>
  <c r="AN12" i="25"/>
  <c r="AN11" i="25"/>
  <c r="AN10" i="25"/>
  <c r="AN9" i="25"/>
  <c r="AN8" i="25"/>
  <c r="AL8" i="25"/>
  <c r="AN7" i="25"/>
  <c r="J7" i="25"/>
  <c r="AN6" i="25"/>
  <c r="AN5" i="25"/>
  <c r="AC5" i="25"/>
  <c r="S5" i="25"/>
  <c r="K8" i="25" s="1"/>
  <c r="S8" i="25" s="1"/>
  <c r="AN4" i="25"/>
  <c r="AC4" i="25"/>
  <c r="S4" i="25"/>
  <c r="AN3" i="25"/>
  <c r="AC3" i="25"/>
  <c r="S3" i="25"/>
  <c r="AN2" i="25"/>
  <c r="AC2" i="25"/>
  <c r="S2" i="25"/>
  <c r="AN53" i="24"/>
  <c r="AN52" i="24"/>
  <c r="AN51" i="24"/>
  <c r="AN50" i="24"/>
  <c r="AN49" i="24"/>
  <c r="AN48" i="24"/>
  <c r="AN47" i="24"/>
  <c r="AE47" i="24"/>
  <c r="X47" i="24"/>
  <c r="AN46" i="24"/>
  <c r="AL46" i="24"/>
  <c r="AK46" i="24"/>
  <c r="AN45" i="24"/>
  <c r="AN44" i="24"/>
  <c r="AN43" i="24"/>
  <c r="AN42" i="24"/>
  <c r="AN41" i="24"/>
  <c r="AK41" i="24"/>
  <c r="U40" i="24"/>
  <c r="V40" i="24" s="1"/>
  <c r="W40" i="24" s="1"/>
  <c r="X40" i="24" s="1"/>
  <c r="Y40" i="24" s="1"/>
  <c r="Z40" i="24" s="1"/>
  <c r="AB40" i="24" s="1"/>
  <c r="AC40" i="24" s="1"/>
  <c r="AD40" i="24" s="1"/>
  <c r="AE40" i="24" s="1"/>
  <c r="AF40" i="24" s="1"/>
  <c r="AG40" i="24" s="1"/>
  <c r="AI40" i="24" s="1"/>
  <c r="AJ40" i="24" s="1"/>
  <c r="AK40" i="24" s="1"/>
  <c r="AC33" i="24"/>
  <c r="V33" i="24"/>
  <c r="AC32" i="24"/>
  <c r="V32" i="24"/>
  <c r="AC30" i="24"/>
  <c r="V30" i="24"/>
  <c r="AC29" i="24"/>
  <c r="V29" i="24"/>
  <c r="AC28" i="24"/>
  <c r="V28" i="24"/>
  <c r="AC27" i="24"/>
  <c r="V27" i="24"/>
  <c r="S25" i="24"/>
  <c r="S24" i="24"/>
  <c r="AE16" i="24"/>
  <c r="AN13" i="24"/>
  <c r="AN12" i="24"/>
  <c r="AN11" i="24"/>
  <c r="AN10" i="24"/>
  <c r="AN9" i="24"/>
  <c r="AN8" i="24"/>
  <c r="AE8" i="24"/>
  <c r="X8" i="24"/>
  <c r="AN7" i="24"/>
  <c r="AL7" i="24"/>
  <c r="AK7" i="24"/>
  <c r="AN6" i="24"/>
  <c r="AN5" i="24"/>
  <c r="I5" i="24"/>
  <c r="AN4" i="24"/>
  <c r="AC4" i="24"/>
  <c r="S4" i="24"/>
  <c r="AN3" i="24"/>
  <c r="AC3" i="24"/>
  <c r="S3" i="24"/>
  <c r="AN2" i="24"/>
  <c r="AK2" i="24"/>
  <c r="AC2" i="24"/>
  <c r="S2" i="24"/>
  <c r="AN53" i="23"/>
  <c r="AN52" i="23"/>
  <c r="AN51" i="23"/>
  <c r="AN50" i="23"/>
  <c r="AN49" i="23"/>
  <c r="AN48" i="23"/>
  <c r="AN47" i="23"/>
  <c r="AE47" i="23"/>
  <c r="X47" i="23"/>
  <c r="AN46" i="23"/>
  <c r="AL46" i="23"/>
  <c r="AK46" i="23"/>
  <c r="AN45" i="23"/>
  <c r="AN44" i="23"/>
  <c r="AN43" i="23"/>
  <c r="AN42" i="23"/>
  <c r="AN41" i="23"/>
  <c r="AK41" i="23"/>
  <c r="U40" i="23"/>
  <c r="V40" i="23" s="1"/>
  <c r="W40" i="23" s="1"/>
  <c r="X40" i="23" s="1"/>
  <c r="Y40" i="23" s="1"/>
  <c r="Z40" i="23" s="1"/>
  <c r="AB40" i="23" s="1"/>
  <c r="AC40" i="23" s="1"/>
  <c r="AD40" i="23" s="1"/>
  <c r="AE40" i="23" s="1"/>
  <c r="AF40" i="23" s="1"/>
  <c r="AG40" i="23" s="1"/>
  <c r="AI40" i="23" s="1"/>
  <c r="AJ40" i="23" s="1"/>
  <c r="AK40" i="23" s="1"/>
  <c r="AC33" i="23"/>
  <c r="V33" i="23"/>
  <c r="AC32" i="23"/>
  <c r="V32" i="23"/>
  <c r="AC30" i="23"/>
  <c r="V30" i="23"/>
  <c r="AC29" i="23"/>
  <c r="V29" i="23"/>
  <c r="AC28" i="23"/>
  <c r="V28" i="23"/>
  <c r="AC27" i="23"/>
  <c r="V27" i="23"/>
  <c r="S25" i="23"/>
  <c r="S24" i="23"/>
  <c r="AE16" i="23"/>
  <c r="AN13" i="23"/>
  <c r="AN12" i="23"/>
  <c r="AN11" i="23"/>
  <c r="AN10" i="23"/>
  <c r="AN9" i="23"/>
  <c r="AN8" i="23"/>
  <c r="AE8" i="23"/>
  <c r="X8" i="23"/>
  <c r="AN7" i="23"/>
  <c r="AL7" i="23"/>
  <c r="AK7" i="23"/>
  <c r="AN6" i="23"/>
  <c r="AN5" i="23"/>
  <c r="S5" i="23"/>
  <c r="AN4" i="23"/>
  <c r="AC4" i="23"/>
  <c r="S4" i="23"/>
  <c r="I5" i="23" s="1"/>
  <c r="J6" i="23" s="1"/>
  <c r="AN3" i="23"/>
  <c r="AC3" i="23"/>
  <c r="S3" i="23"/>
  <c r="AN2" i="23"/>
  <c r="AK2" i="23"/>
  <c r="AC2" i="23"/>
  <c r="S2" i="23"/>
  <c r="AN53" i="22"/>
  <c r="AN52" i="22"/>
  <c r="AN51" i="22"/>
  <c r="AN50" i="22"/>
  <c r="AN49" i="22"/>
  <c r="AN48" i="22"/>
  <c r="AN47" i="22"/>
  <c r="AE47" i="22"/>
  <c r="X47" i="22"/>
  <c r="AN46" i="22"/>
  <c r="AL46" i="22"/>
  <c r="AK46" i="22"/>
  <c r="AN45" i="22"/>
  <c r="AN44" i="22"/>
  <c r="AN43" i="22"/>
  <c r="AN42" i="22"/>
  <c r="AN41" i="22"/>
  <c r="AK41" i="22"/>
  <c r="U40" i="22"/>
  <c r="V40" i="22" s="1"/>
  <c r="W40" i="22" s="1"/>
  <c r="X40" i="22" s="1"/>
  <c r="Y40" i="22" s="1"/>
  <c r="Z40" i="22" s="1"/>
  <c r="AB40" i="22" s="1"/>
  <c r="AC40" i="22" s="1"/>
  <c r="AD40" i="22" s="1"/>
  <c r="AE40" i="22" s="1"/>
  <c r="AF40" i="22" s="1"/>
  <c r="AG40" i="22" s="1"/>
  <c r="AI40" i="22" s="1"/>
  <c r="AJ40" i="22" s="1"/>
  <c r="AK40" i="22" s="1"/>
  <c r="AC33" i="22"/>
  <c r="V33" i="22"/>
  <c r="AC32" i="22"/>
  <c r="V32" i="22"/>
  <c r="AC30" i="22"/>
  <c r="V30" i="22"/>
  <c r="AC29" i="22"/>
  <c r="V29" i="22"/>
  <c r="AC28" i="22"/>
  <c r="V28" i="22"/>
  <c r="AC27" i="22"/>
  <c r="V27" i="22"/>
  <c r="S25" i="22"/>
  <c r="S24" i="22"/>
  <c r="AE16" i="22"/>
  <c r="AN13" i="22"/>
  <c r="AN12" i="22"/>
  <c r="AN11" i="22"/>
  <c r="AN10" i="22"/>
  <c r="AN9" i="22"/>
  <c r="AN8" i="22"/>
  <c r="AE8" i="22"/>
  <c r="X8" i="22"/>
  <c r="AN7" i="22"/>
  <c r="AL7" i="22"/>
  <c r="AK7" i="22"/>
  <c r="AN6" i="22"/>
  <c r="J6" i="22"/>
  <c r="AN5" i="22"/>
  <c r="I5" i="22"/>
  <c r="S5" i="22" s="1"/>
  <c r="AN4" i="22"/>
  <c r="AC4" i="22"/>
  <c r="S4" i="22"/>
  <c r="AN3" i="22"/>
  <c r="AC3" i="22"/>
  <c r="S3" i="22"/>
  <c r="AN2" i="22"/>
  <c r="AK2" i="22"/>
  <c r="AC2" i="22"/>
  <c r="S2" i="22"/>
  <c r="AN53" i="21"/>
  <c r="AN52" i="21"/>
  <c r="AN51" i="21"/>
  <c r="AN50" i="21"/>
  <c r="AN49" i="21"/>
  <c r="AN48" i="21"/>
  <c r="AN47" i="21"/>
  <c r="AE47" i="21"/>
  <c r="X47" i="21"/>
  <c r="AN46" i="21"/>
  <c r="AL46" i="21"/>
  <c r="AK46" i="21"/>
  <c r="AN45" i="21"/>
  <c r="AN44" i="21"/>
  <c r="AN43" i="21"/>
  <c r="S43" i="21"/>
  <c r="I44" i="21" s="1"/>
  <c r="AN42" i="21"/>
  <c r="AN41" i="21"/>
  <c r="AK41" i="21"/>
  <c r="V40" i="21"/>
  <c r="W40" i="21" s="1"/>
  <c r="X40" i="21" s="1"/>
  <c r="Y40" i="21" s="1"/>
  <c r="Z40" i="21" s="1"/>
  <c r="AB40" i="21" s="1"/>
  <c r="AC40" i="21" s="1"/>
  <c r="AD40" i="21" s="1"/>
  <c r="AE40" i="21" s="1"/>
  <c r="AF40" i="21" s="1"/>
  <c r="AG40" i="21" s="1"/>
  <c r="AI40" i="21" s="1"/>
  <c r="AJ40" i="21" s="1"/>
  <c r="AK40" i="21" s="1"/>
  <c r="U40" i="21"/>
  <c r="AC33" i="21"/>
  <c r="V33" i="21"/>
  <c r="AC32" i="21"/>
  <c r="V32" i="21"/>
  <c r="AC30" i="21"/>
  <c r="V30" i="21"/>
  <c r="AC29" i="21"/>
  <c r="V29" i="21"/>
  <c r="AC28" i="21"/>
  <c r="V28" i="21"/>
  <c r="AC27" i="21"/>
  <c r="V27" i="21"/>
  <c r="S25" i="21"/>
  <c r="S24" i="21"/>
  <c r="AE16" i="21"/>
  <c r="AN13" i="21"/>
  <c r="AN12" i="21"/>
  <c r="AN11" i="21"/>
  <c r="AN10" i="21"/>
  <c r="AN9" i="21"/>
  <c r="AN8" i="21"/>
  <c r="AE8" i="21"/>
  <c r="X8" i="21"/>
  <c r="AN7" i="21"/>
  <c r="AL7" i="21"/>
  <c r="AK7" i="21"/>
  <c r="AN6" i="21"/>
  <c r="AN5" i="21"/>
  <c r="AN4" i="21"/>
  <c r="AC4" i="21"/>
  <c r="S4" i="21"/>
  <c r="I5" i="21" s="1"/>
  <c r="AN3" i="21"/>
  <c r="AC3" i="21"/>
  <c r="S3" i="21"/>
  <c r="AN2" i="21"/>
  <c r="AK2" i="21"/>
  <c r="AC2" i="21"/>
  <c r="S2" i="21"/>
  <c r="AX62" i="20"/>
  <c r="AX61" i="20"/>
  <c r="AX60" i="20"/>
  <c r="AX59" i="20"/>
  <c r="AX58" i="20"/>
  <c r="AX57" i="20"/>
  <c r="AX56" i="20"/>
  <c r="AX55" i="20"/>
  <c r="AX54" i="20"/>
  <c r="AO54" i="20"/>
  <c r="W54" i="20"/>
  <c r="AX51" i="20"/>
  <c r="AV51" i="20"/>
  <c r="AX50" i="20"/>
  <c r="AX49" i="20"/>
  <c r="AX48" i="20"/>
  <c r="AX47" i="20"/>
  <c r="AX46" i="20"/>
  <c r="AX45" i="20"/>
  <c r="AU45" i="20"/>
  <c r="AN44" i="20"/>
  <c r="AO44" i="20" s="1"/>
  <c r="AP44" i="20" s="1"/>
  <c r="AQ44" i="20" s="1"/>
  <c r="AS44" i="20" s="1"/>
  <c r="AT44" i="20" s="1"/>
  <c r="AU44" i="20" s="1"/>
  <c r="U44" i="20"/>
  <c r="V44" i="20" s="1"/>
  <c r="W44" i="20" s="1"/>
  <c r="X44" i="20" s="1"/>
  <c r="Y44" i="20" s="1"/>
  <c r="AA44" i="20" s="1"/>
  <c r="AB44" i="20" s="1"/>
  <c r="V42" i="20"/>
  <c r="AB36" i="20"/>
  <c r="V36" i="20"/>
  <c r="AB35" i="20"/>
  <c r="V35" i="20"/>
  <c r="AB33" i="20"/>
  <c r="V33" i="20"/>
  <c r="AB32" i="20"/>
  <c r="V32" i="20"/>
  <c r="AB31" i="20"/>
  <c r="V31" i="20"/>
  <c r="AB30" i="20"/>
  <c r="V30" i="20"/>
  <c r="S28" i="20"/>
  <c r="S27" i="20"/>
  <c r="AX17" i="20"/>
  <c r="AX16" i="20"/>
  <c r="AX15" i="20"/>
  <c r="AX14" i="20"/>
  <c r="AX13" i="20"/>
  <c r="AX12" i="20"/>
  <c r="AX11" i="20"/>
  <c r="AO11" i="20"/>
  <c r="W11" i="20"/>
  <c r="AX8" i="20"/>
  <c r="AV8" i="20"/>
  <c r="AX7" i="20"/>
  <c r="AX6" i="20"/>
  <c r="AX5" i="20"/>
  <c r="AB5" i="20"/>
  <c r="S5" i="20"/>
  <c r="K8" i="20" s="1"/>
  <c r="S8" i="20" s="1"/>
  <c r="AX4" i="20"/>
  <c r="AB4" i="20"/>
  <c r="S4" i="20"/>
  <c r="AX3" i="20"/>
  <c r="AB3" i="20"/>
  <c r="S3" i="20"/>
  <c r="AX2" i="20"/>
  <c r="AB2" i="20"/>
  <c r="S2" i="20"/>
  <c r="BC93" i="19"/>
  <c r="BC92" i="19"/>
  <c r="BC91" i="19"/>
  <c r="BC90" i="19"/>
  <c r="BC89" i="19"/>
  <c r="BC88" i="19"/>
  <c r="BC87" i="19"/>
  <c r="BC85" i="19"/>
  <c r="AT85" i="19"/>
  <c r="AK85" i="19"/>
  <c r="AB85" i="19"/>
  <c r="BC83" i="19"/>
  <c r="BA83" i="19"/>
  <c r="BC82" i="19"/>
  <c r="BC81" i="19"/>
  <c r="BC80" i="19"/>
  <c r="BC79" i="19"/>
  <c r="BC78" i="19"/>
  <c r="BC77" i="19"/>
  <c r="BC76" i="19"/>
  <c r="BC75" i="19"/>
  <c r="BC74" i="19"/>
  <c r="BC73" i="19"/>
  <c r="BC71" i="19"/>
  <c r="AT71" i="19"/>
  <c r="AK71" i="19"/>
  <c r="AB71" i="19"/>
  <c r="BC69" i="19"/>
  <c r="BA69" i="19"/>
  <c r="BC68" i="19"/>
  <c r="BC67" i="19"/>
  <c r="BC66" i="19"/>
  <c r="BC65" i="19"/>
  <c r="BC64" i="19"/>
  <c r="BC63" i="19"/>
  <c r="BC62" i="19"/>
  <c r="BC61" i="19"/>
  <c r="BC60" i="19"/>
  <c r="BC59" i="19"/>
  <c r="BC58" i="19"/>
  <c r="BC57" i="19"/>
  <c r="AT57" i="19"/>
  <c r="AK57" i="19"/>
  <c r="AB57" i="19"/>
  <c r="BC56" i="19"/>
  <c r="BA56" i="19"/>
  <c r="BC55" i="19"/>
  <c r="BA55" i="19"/>
  <c r="BC54" i="19"/>
  <c r="BC53" i="19"/>
  <c r="BC52" i="19"/>
  <c r="AG52" i="19"/>
  <c r="BC51" i="19"/>
  <c r="BC50" i="19"/>
  <c r="BC49" i="19"/>
  <c r="AZ49" i="19"/>
  <c r="AS48" i="19"/>
  <c r="AT48" i="19" s="1"/>
  <c r="AU48" i="19" s="1"/>
  <c r="AV48" i="19" s="1"/>
  <c r="AX48" i="19" s="1"/>
  <c r="AY48" i="19" s="1"/>
  <c r="AZ48" i="19" s="1"/>
  <c r="AJ48" i="19"/>
  <c r="AK48" i="19" s="1"/>
  <c r="AL48" i="19" s="1"/>
  <c r="AM48" i="19" s="1"/>
  <c r="AO48" i="19" s="1"/>
  <c r="AP48" i="19" s="1"/>
  <c r="AA48" i="19"/>
  <c r="AB48" i="19" s="1"/>
  <c r="AC48" i="19" s="1"/>
  <c r="AD48" i="19" s="1"/>
  <c r="AF48" i="19" s="1"/>
  <c r="AG48" i="19" s="1"/>
  <c r="W48" i="19"/>
  <c r="X48" i="19" s="1"/>
  <c r="AP39" i="19"/>
  <c r="AG39" i="19"/>
  <c r="X39" i="19"/>
  <c r="AP38" i="19"/>
  <c r="AG38" i="19"/>
  <c r="X38" i="19"/>
  <c r="AP36" i="19"/>
  <c r="AG36" i="19"/>
  <c r="X36" i="19"/>
  <c r="AP35" i="19"/>
  <c r="AG35" i="19"/>
  <c r="X35" i="19"/>
  <c r="AP34" i="19"/>
  <c r="AG34" i="19"/>
  <c r="X34" i="19"/>
  <c r="AP33" i="19"/>
  <c r="AG33" i="19"/>
  <c r="X33" i="19"/>
  <c r="U31" i="19"/>
  <c r="U30" i="19"/>
  <c r="AK22" i="19"/>
  <c r="BC17" i="19"/>
  <c r="BC16" i="19"/>
  <c r="BC15" i="19"/>
  <c r="BC14" i="19"/>
  <c r="BC13" i="19"/>
  <c r="BC12" i="19"/>
  <c r="BC10" i="19"/>
  <c r="AT10" i="19"/>
  <c r="AK10" i="19"/>
  <c r="AB10" i="19"/>
  <c r="BC8" i="19"/>
  <c r="BA8" i="19"/>
  <c r="BC7" i="19"/>
  <c r="J7" i="19"/>
  <c r="BC6" i="19"/>
  <c r="I6" i="19"/>
  <c r="BC5" i="19"/>
  <c r="AG5" i="19"/>
  <c r="U5" i="19"/>
  <c r="BC4" i="19"/>
  <c r="AG4" i="19"/>
  <c r="U4" i="19"/>
  <c r="BC3" i="19"/>
  <c r="AG3" i="19"/>
  <c r="U3" i="19"/>
  <c r="BC2" i="19"/>
  <c r="AG2" i="19"/>
  <c r="U2" i="19"/>
  <c r="AP57" i="18"/>
  <c r="AP56" i="18"/>
  <c r="AP55" i="18"/>
  <c r="AP54" i="18"/>
  <c r="AP53" i="18"/>
  <c r="AP52" i="18"/>
  <c r="AP51" i="18"/>
  <c r="AP50" i="18"/>
  <c r="AG50" i="18"/>
  <c r="Y50" i="18"/>
  <c r="AP49" i="18"/>
  <c r="AN49" i="18"/>
  <c r="AP48" i="18"/>
  <c r="AP47" i="18"/>
  <c r="I47" i="18"/>
  <c r="AP46" i="18"/>
  <c r="AP45" i="18"/>
  <c r="AP44" i="18"/>
  <c r="AP43" i="18"/>
  <c r="AM43" i="18"/>
  <c r="AF42" i="18"/>
  <c r="AG42" i="18" s="1"/>
  <c r="AH42" i="18" s="1"/>
  <c r="AI42" i="18" s="1"/>
  <c r="AK42" i="18" s="1"/>
  <c r="AL42" i="18" s="1"/>
  <c r="AM42" i="18" s="1"/>
  <c r="X42" i="18"/>
  <c r="Y42" i="18" s="1"/>
  <c r="Z42" i="18" s="1"/>
  <c r="AA42" i="18" s="1"/>
  <c r="AC42" i="18" s="1"/>
  <c r="AD42" i="18" s="1"/>
  <c r="U42" i="18"/>
  <c r="V42" i="18" s="1"/>
  <c r="AD35" i="18"/>
  <c r="V35" i="18"/>
  <c r="AD34" i="18"/>
  <c r="V34" i="18"/>
  <c r="AD32" i="18"/>
  <c r="V32" i="18"/>
  <c r="AD31" i="18"/>
  <c r="V31" i="18"/>
  <c r="AD30" i="18"/>
  <c r="V30" i="18"/>
  <c r="AD29" i="18"/>
  <c r="V29" i="18"/>
  <c r="S27" i="18"/>
  <c r="S26" i="18"/>
  <c r="AG18" i="18"/>
  <c r="AP15" i="18"/>
  <c r="AP14" i="18"/>
  <c r="AP13" i="18"/>
  <c r="AP12" i="18"/>
  <c r="AP11" i="18"/>
  <c r="AP10" i="18"/>
  <c r="AP9" i="18"/>
  <c r="AG9" i="18"/>
  <c r="Y9" i="18"/>
  <c r="AP8" i="18"/>
  <c r="AN8" i="18"/>
  <c r="K8" i="18"/>
  <c r="S8" i="18" s="1"/>
  <c r="AP7" i="18"/>
  <c r="AP6" i="18"/>
  <c r="AP5" i="18"/>
  <c r="AD5" i="18"/>
  <c r="S5" i="18"/>
  <c r="I6" i="18" s="1"/>
  <c r="J7" i="18" s="1"/>
  <c r="S7" i="18" s="1"/>
  <c r="AP4" i="18"/>
  <c r="AD4" i="18"/>
  <c r="S4" i="18"/>
  <c r="AP3" i="18"/>
  <c r="AD3" i="18"/>
  <c r="S3" i="18"/>
  <c r="AP2" i="18"/>
  <c r="AD2" i="18"/>
  <c r="S2" i="18"/>
  <c r="AX57" i="17"/>
  <c r="AX56" i="17"/>
  <c r="AX55" i="17"/>
  <c r="AX54" i="17"/>
  <c r="AX53" i="17"/>
  <c r="AX52" i="17"/>
  <c r="AX51" i="17"/>
  <c r="AX50" i="17"/>
  <c r="AO50" i="17"/>
  <c r="AG50" i="17"/>
  <c r="Y50" i="17"/>
  <c r="AX49" i="17"/>
  <c r="AV49" i="17"/>
  <c r="AX48" i="17"/>
  <c r="AX47" i="17"/>
  <c r="AX46" i="17"/>
  <c r="S46" i="17"/>
  <c r="AX45" i="17"/>
  <c r="AX44" i="17"/>
  <c r="AX43" i="17"/>
  <c r="AU43" i="17"/>
  <c r="AN42" i="17"/>
  <c r="AO42" i="17" s="1"/>
  <c r="AP42" i="17" s="1"/>
  <c r="AQ42" i="17" s="1"/>
  <c r="AS42" i="17" s="1"/>
  <c r="AT42" i="17" s="1"/>
  <c r="AU42" i="17" s="1"/>
  <c r="AF42" i="17"/>
  <c r="AG42" i="17" s="1"/>
  <c r="AH42" i="17" s="1"/>
  <c r="AI42" i="17" s="1"/>
  <c r="AK42" i="17" s="1"/>
  <c r="AL42" i="17" s="1"/>
  <c r="X42" i="17"/>
  <c r="Y42" i="17" s="1"/>
  <c r="Z42" i="17" s="1"/>
  <c r="AA42" i="17" s="1"/>
  <c r="AC42" i="17" s="1"/>
  <c r="AD42" i="17" s="1"/>
  <c r="U42" i="17"/>
  <c r="V42" i="17" s="1"/>
  <c r="AL35" i="17"/>
  <c r="AD35" i="17"/>
  <c r="V35" i="17"/>
  <c r="AL34" i="17"/>
  <c r="AD34" i="17"/>
  <c r="V34" i="17"/>
  <c r="AL32" i="17"/>
  <c r="AD32" i="17"/>
  <c r="V32" i="17"/>
  <c r="AL31" i="17"/>
  <c r="AD31" i="17"/>
  <c r="V31" i="17"/>
  <c r="AL30" i="17"/>
  <c r="AD30" i="17"/>
  <c r="V30" i="17"/>
  <c r="AL29" i="17"/>
  <c r="AD29" i="17"/>
  <c r="V29" i="17"/>
  <c r="S27" i="17"/>
  <c r="S26" i="17"/>
  <c r="AG18" i="17"/>
  <c r="AX15" i="17"/>
  <c r="AX14" i="17"/>
  <c r="AX13" i="17"/>
  <c r="AX12" i="17"/>
  <c r="AX11" i="17"/>
  <c r="AX10" i="17"/>
  <c r="AX9" i="17"/>
  <c r="AO9" i="17"/>
  <c r="AG9" i="17"/>
  <c r="Y9" i="17"/>
  <c r="AX8" i="17"/>
  <c r="AV8" i="17"/>
  <c r="AX7" i="17"/>
  <c r="AX6" i="17"/>
  <c r="I6" i="17"/>
  <c r="J7" i="17" s="1"/>
  <c r="AX5" i="17"/>
  <c r="AD5" i="17"/>
  <c r="S5" i="17"/>
  <c r="AX4" i="17"/>
  <c r="AD4" i="17"/>
  <c r="S4" i="17"/>
  <c r="AX3" i="17"/>
  <c r="AD3" i="17"/>
  <c r="S3" i="17"/>
  <c r="AX2" i="17"/>
  <c r="AD2" i="17"/>
  <c r="S2" i="17"/>
  <c r="AX81" i="16"/>
  <c r="AX80" i="16"/>
  <c r="AX79" i="16"/>
  <c r="AX78" i="16"/>
  <c r="AX77" i="16"/>
  <c r="AX76" i="16"/>
  <c r="AX75" i="16"/>
  <c r="AX74" i="16"/>
  <c r="AO74" i="16"/>
  <c r="AG74" i="16"/>
  <c r="Y74" i="16"/>
  <c r="AX73" i="16"/>
  <c r="AV73" i="16"/>
  <c r="AX72" i="16"/>
  <c r="AX71" i="16"/>
  <c r="AX70" i="16"/>
  <c r="AX69" i="16"/>
  <c r="AX68" i="16"/>
  <c r="S68" i="16"/>
  <c r="AX67" i="16"/>
  <c r="AX66" i="16"/>
  <c r="AX65" i="16"/>
  <c r="AX64" i="16"/>
  <c r="AX63" i="16"/>
  <c r="AX62" i="16"/>
  <c r="AO62" i="16"/>
  <c r="AG62" i="16"/>
  <c r="Y62" i="16"/>
  <c r="AX61" i="16"/>
  <c r="AV61" i="16"/>
  <c r="AX60" i="16"/>
  <c r="AX59" i="16"/>
  <c r="AX58" i="16"/>
  <c r="AX57" i="16"/>
  <c r="AD57" i="16"/>
  <c r="S57" i="16"/>
  <c r="AX56" i="16"/>
  <c r="AX55" i="16"/>
  <c r="AX54" i="16"/>
  <c r="AX53" i="16"/>
  <c r="AX52" i="16"/>
  <c r="AX51" i="16"/>
  <c r="AX50" i="16"/>
  <c r="AO50" i="16"/>
  <c r="AG50" i="16"/>
  <c r="Y50" i="16"/>
  <c r="AX49" i="16"/>
  <c r="AV49" i="16"/>
  <c r="AX48" i="16"/>
  <c r="AX47" i="16"/>
  <c r="AX46" i="16"/>
  <c r="AD46" i="16"/>
  <c r="AX45" i="16"/>
  <c r="AX44" i="16"/>
  <c r="AX43" i="16"/>
  <c r="AU43" i="16"/>
  <c r="AN42" i="16"/>
  <c r="AO42" i="16" s="1"/>
  <c r="AP42" i="16" s="1"/>
  <c r="AQ42" i="16" s="1"/>
  <c r="AS42" i="16" s="1"/>
  <c r="AT42" i="16" s="1"/>
  <c r="AU42" i="16" s="1"/>
  <c r="AF42" i="16"/>
  <c r="AG42" i="16" s="1"/>
  <c r="AH42" i="16" s="1"/>
  <c r="AI42" i="16" s="1"/>
  <c r="AK42" i="16" s="1"/>
  <c r="AL42" i="16" s="1"/>
  <c r="X42" i="16"/>
  <c r="Y42" i="16" s="1"/>
  <c r="Z42" i="16" s="1"/>
  <c r="AA42" i="16" s="1"/>
  <c r="AC42" i="16" s="1"/>
  <c r="AD42" i="16" s="1"/>
  <c r="U42" i="16"/>
  <c r="V42" i="16" s="1"/>
  <c r="AL35" i="16"/>
  <c r="AD35" i="16"/>
  <c r="V35" i="16"/>
  <c r="AL34" i="16"/>
  <c r="AD34" i="16"/>
  <c r="V34" i="16"/>
  <c r="AL32" i="16"/>
  <c r="AD32" i="16"/>
  <c r="V32" i="16"/>
  <c r="AL31" i="16"/>
  <c r="AD31" i="16"/>
  <c r="V31" i="16"/>
  <c r="AL30" i="16"/>
  <c r="AD30" i="16"/>
  <c r="V30" i="16"/>
  <c r="AL29" i="16"/>
  <c r="AD29" i="16"/>
  <c r="V29" i="16"/>
  <c r="S27" i="16"/>
  <c r="S26" i="16"/>
  <c r="AG18" i="16"/>
  <c r="AX15" i="16"/>
  <c r="AX14" i="16"/>
  <c r="AX13" i="16"/>
  <c r="AX12" i="16"/>
  <c r="AX11" i="16"/>
  <c r="AX10" i="16"/>
  <c r="AX9" i="16"/>
  <c r="AO9" i="16"/>
  <c r="AG9" i="16"/>
  <c r="Y9" i="16"/>
  <c r="AX8" i="16"/>
  <c r="AV8" i="16"/>
  <c r="AX7" i="16"/>
  <c r="J7" i="16"/>
  <c r="AX6" i="16"/>
  <c r="I6" i="16"/>
  <c r="AX5" i="16"/>
  <c r="AD5" i="16"/>
  <c r="S5" i="16"/>
  <c r="AX4" i="16"/>
  <c r="AD4" i="16"/>
  <c r="S4" i="16"/>
  <c r="AX3" i="16"/>
  <c r="AD3" i="16"/>
  <c r="S3" i="16"/>
  <c r="AX2" i="16"/>
  <c r="AD2" i="16"/>
  <c r="S2" i="16"/>
  <c r="AP57" i="15"/>
  <c r="AP56" i="15"/>
  <c r="AP55" i="15"/>
  <c r="AP54" i="15"/>
  <c r="AP53" i="15"/>
  <c r="AP52" i="15"/>
  <c r="AP51" i="15"/>
  <c r="AP50" i="15"/>
  <c r="AG50" i="15"/>
  <c r="Y50" i="15"/>
  <c r="AP49" i="15"/>
  <c r="AN49" i="15"/>
  <c r="AP48" i="15"/>
  <c r="AP47" i="15"/>
  <c r="AP46" i="15"/>
  <c r="AP45" i="15"/>
  <c r="S45" i="15"/>
  <c r="AP44" i="15"/>
  <c r="AD44" i="15"/>
  <c r="S44" i="15"/>
  <c r="AP43" i="15"/>
  <c r="AM43" i="15"/>
  <c r="AF42" i="15"/>
  <c r="AG42" i="15" s="1"/>
  <c r="AH42" i="15" s="1"/>
  <c r="AI42" i="15" s="1"/>
  <c r="AK42" i="15" s="1"/>
  <c r="AL42" i="15" s="1"/>
  <c r="AM42" i="15" s="1"/>
  <c r="Y42" i="15"/>
  <c r="Z42" i="15" s="1"/>
  <c r="AA42" i="15" s="1"/>
  <c r="AC42" i="15" s="1"/>
  <c r="AD42" i="15" s="1"/>
  <c r="X42" i="15"/>
  <c r="U42" i="15"/>
  <c r="V42" i="15" s="1"/>
  <c r="AD35" i="15"/>
  <c r="V35" i="15"/>
  <c r="AD34" i="15"/>
  <c r="V34" i="15"/>
  <c r="AD32" i="15"/>
  <c r="V32" i="15"/>
  <c r="AD31" i="15"/>
  <c r="V31" i="15"/>
  <c r="AD30" i="15"/>
  <c r="V30" i="15"/>
  <c r="AD29" i="15"/>
  <c r="V29" i="15"/>
  <c r="S27" i="15"/>
  <c r="S26" i="15"/>
  <c r="AG18" i="15"/>
  <c r="AP15" i="15"/>
  <c r="AP14" i="15"/>
  <c r="AP13" i="15"/>
  <c r="AP12" i="15"/>
  <c r="AP11" i="15"/>
  <c r="AP10" i="15"/>
  <c r="AP9" i="15"/>
  <c r="AG9" i="15"/>
  <c r="Y9" i="15"/>
  <c r="AP8" i="15"/>
  <c r="AN8" i="15"/>
  <c r="AP7" i="15"/>
  <c r="AP6" i="15"/>
  <c r="I6" i="15"/>
  <c r="AP5" i="15"/>
  <c r="AD5" i="15"/>
  <c r="S5" i="15"/>
  <c r="AP4" i="15"/>
  <c r="AD4" i="15"/>
  <c r="S4" i="15"/>
  <c r="AP3" i="15"/>
  <c r="AD3" i="15"/>
  <c r="S3" i="15"/>
  <c r="AP2" i="15"/>
  <c r="AD2" i="15"/>
  <c r="S2" i="15"/>
  <c r="AP57" i="14"/>
  <c r="AP56" i="14"/>
  <c r="AP55" i="14"/>
  <c r="AP54" i="14"/>
  <c r="AP53" i="14"/>
  <c r="AP52" i="14"/>
  <c r="AP51" i="14"/>
  <c r="AP50" i="14"/>
  <c r="AG50" i="14"/>
  <c r="Y50" i="14"/>
  <c r="AP49" i="14"/>
  <c r="AN49" i="14"/>
  <c r="AP48" i="14"/>
  <c r="AP47" i="14"/>
  <c r="I47" i="14"/>
  <c r="AP46" i="14"/>
  <c r="AD46" i="14"/>
  <c r="S46" i="14"/>
  <c r="AP45" i="14"/>
  <c r="AP44" i="14"/>
  <c r="AP43" i="14"/>
  <c r="AM43" i="14"/>
  <c r="AF42" i="14"/>
  <c r="AG42" i="14" s="1"/>
  <c r="AH42" i="14" s="1"/>
  <c r="AI42" i="14" s="1"/>
  <c r="AK42" i="14" s="1"/>
  <c r="AL42" i="14" s="1"/>
  <c r="AM42" i="14" s="1"/>
  <c r="X42" i="14"/>
  <c r="Y42" i="14" s="1"/>
  <c r="Z42" i="14" s="1"/>
  <c r="AA42" i="14" s="1"/>
  <c r="AC42" i="14" s="1"/>
  <c r="AD42" i="14" s="1"/>
  <c r="U42" i="14"/>
  <c r="V42" i="14" s="1"/>
  <c r="AD35" i="14"/>
  <c r="V35" i="14"/>
  <c r="AD34" i="14"/>
  <c r="V34" i="14"/>
  <c r="AD32" i="14"/>
  <c r="V32" i="14"/>
  <c r="AD31" i="14"/>
  <c r="V31" i="14"/>
  <c r="AD30" i="14"/>
  <c r="V30" i="14"/>
  <c r="AD29" i="14"/>
  <c r="V29" i="14"/>
  <c r="S27" i="14"/>
  <c r="S26" i="14"/>
  <c r="AG18" i="14"/>
  <c r="AP15" i="14"/>
  <c r="AP14" i="14"/>
  <c r="AP13" i="14"/>
  <c r="AP12" i="14"/>
  <c r="AP11" i="14"/>
  <c r="AP10" i="14"/>
  <c r="AP9" i="14"/>
  <c r="AG9" i="14"/>
  <c r="Y9" i="14"/>
  <c r="AP8" i="14"/>
  <c r="AN8" i="14"/>
  <c r="K8" i="14"/>
  <c r="S8" i="14" s="1"/>
  <c r="AP7" i="14"/>
  <c r="J7" i="14"/>
  <c r="S7" i="14" s="1"/>
  <c r="AP6" i="14"/>
  <c r="I6" i="14"/>
  <c r="S6" i="14" s="1"/>
  <c r="AP5" i="14"/>
  <c r="AD5" i="14"/>
  <c r="S5" i="14"/>
  <c r="AP4" i="14"/>
  <c r="AD4" i="14"/>
  <c r="S4" i="14"/>
  <c r="AP3" i="14"/>
  <c r="AD3" i="14"/>
  <c r="S3" i="14"/>
  <c r="AP2" i="14"/>
  <c r="AD2" i="14"/>
  <c r="S2" i="14"/>
  <c r="AP57" i="13"/>
  <c r="AP56" i="13"/>
  <c r="AP55" i="13"/>
  <c r="AP54" i="13"/>
  <c r="AP53" i="13"/>
  <c r="AP52" i="13"/>
  <c r="AP51" i="13"/>
  <c r="AP50" i="13"/>
  <c r="AG50" i="13"/>
  <c r="Y50" i="13"/>
  <c r="AP49" i="13"/>
  <c r="AN49" i="13"/>
  <c r="AP48" i="13"/>
  <c r="J48" i="13"/>
  <c r="K49" i="13" s="1"/>
  <c r="S49" i="13" s="1"/>
  <c r="AP47" i="13"/>
  <c r="AP46" i="13"/>
  <c r="AD46" i="13"/>
  <c r="AP45" i="13"/>
  <c r="AP44" i="13"/>
  <c r="AP43" i="13"/>
  <c r="AM43" i="13"/>
  <c r="AD43" i="13"/>
  <c r="AF42" i="13"/>
  <c r="AG42" i="13" s="1"/>
  <c r="AH42" i="13" s="1"/>
  <c r="AI42" i="13" s="1"/>
  <c r="AK42" i="13" s="1"/>
  <c r="AL42" i="13" s="1"/>
  <c r="AM42" i="13" s="1"/>
  <c r="X42" i="13"/>
  <c r="Y42" i="13" s="1"/>
  <c r="Z42" i="13" s="1"/>
  <c r="AA42" i="13" s="1"/>
  <c r="AC42" i="13" s="1"/>
  <c r="AD42" i="13" s="1"/>
  <c r="U42" i="13"/>
  <c r="V42" i="13" s="1"/>
  <c r="AD35" i="13"/>
  <c r="V35" i="13"/>
  <c r="AD34" i="13"/>
  <c r="V34" i="13"/>
  <c r="AD32" i="13"/>
  <c r="V32" i="13"/>
  <c r="AD31" i="13"/>
  <c r="V31" i="13"/>
  <c r="AD30" i="13"/>
  <c r="V30" i="13"/>
  <c r="AD29" i="13"/>
  <c r="V29" i="13"/>
  <c r="S27" i="13"/>
  <c r="S26" i="13"/>
  <c r="AG18" i="13"/>
  <c r="AP15" i="13"/>
  <c r="AP14" i="13"/>
  <c r="AP13" i="13"/>
  <c r="AP12" i="13"/>
  <c r="AP11" i="13"/>
  <c r="AP10" i="13"/>
  <c r="AP9" i="13"/>
  <c r="AG9" i="13"/>
  <c r="Y9" i="13"/>
  <c r="AP8" i="13"/>
  <c r="AN8" i="13"/>
  <c r="K8" i="13"/>
  <c r="S8" i="13" s="1"/>
  <c r="AP7" i="13"/>
  <c r="S7" i="13"/>
  <c r="AP6" i="13"/>
  <c r="S6" i="13"/>
  <c r="AP5" i="13"/>
  <c r="AD5" i="13"/>
  <c r="S5" i="13"/>
  <c r="I6" i="13" s="1"/>
  <c r="J7" i="13" s="1"/>
  <c r="AP4" i="13"/>
  <c r="AD4" i="13"/>
  <c r="S4" i="13"/>
  <c r="AP3" i="13"/>
  <c r="AD3" i="13"/>
  <c r="S3" i="13"/>
  <c r="AP2" i="13"/>
  <c r="AD2" i="13"/>
  <c r="S2" i="13"/>
  <c r="AX81" i="12"/>
  <c r="AX80" i="12"/>
  <c r="AX79" i="12"/>
  <c r="AX78" i="12"/>
  <c r="AX77" i="12"/>
  <c r="AX76" i="12"/>
  <c r="AX75" i="12"/>
  <c r="AX74" i="12"/>
  <c r="AO74" i="12"/>
  <c r="AG74" i="12"/>
  <c r="Y74" i="12"/>
  <c r="AX73" i="12"/>
  <c r="AV73" i="12"/>
  <c r="AX72" i="12"/>
  <c r="AX71" i="12"/>
  <c r="AX70" i="12"/>
  <c r="S70" i="12"/>
  <c r="I71" i="12" s="1"/>
  <c r="S71" i="12" s="1"/>
  <c r="AX69" i="12"/>
  <c r="AD69" i="12"/>
  <c r="S69" i="12"/>
  <c r="AX68" i="12"/>
  <c r="S68" i="12"/>
  <c r="AX67" i="12"/>
  <c r="AX66" i="12"/>
  <c r="AX65" i="12"/>
  <c r="AX64" i="12"/>
  <c r="AX63" i="12"/>
  <c r="AX62" i="12"/>
  <c r="AO62" i="12"/>
  <c r="AG62" i="12"/>
  <c r="Y62" i="12"/>
  <c r="AX61" i="12"/>
  <c r="AV61" i="12"/>
  <c r="AX60" i="12"/>
  <c r="AX59" i="12"/>
  <c r="AX58" i="12"/>
  <c r="AD58" i="12"/>
  <c r="AX57" i="12"/>
  <c r="AD57" i="12"/>
  <c r="AX56" i="12"/>
  <c r="S56" i="12"/>
  <c r="AX55" i="12"/>
  <c r="AX54" i="12"/>
  <c r="AX53" i="12"/>
  <c r="AX52" i="12"/>
  <c r="AX51" i="12"/>
  <c r="AX50" i="12"/>
  <c r="AO50" i="12"/>
  <c r="AG50" i="12"/>
  <c r="Y50" i="12"/>
  <c r="AX49" i="12"/>
  <c r="AV49" i="12"/>
  <c r="AX48" i="12"/>
  <c r="J48" i="12"/>
  <c r="AX47" i="12"/>
  <c r="AX46" i="12"/>
  <c r="S46" i="12"/>
  <c r="I47" i="12" s="1"/>
  <c r="S47" i="12" s="1"/>
  <c r="AX45" i="12"/>
  <c r="AX44" i="12"/>
  <c r="S44" i="12"/>
  <c r="AX43" i="12"/>
  <c r="AU43" i="12"/>
  <c r="AN42" i="12"/>
  <c r="AO42" i="12" s="1"/>
  <c r="AP42" i="12" s="1"/>
  <c r="AQ42" i="12" s="1"/>
  <c r="AS42" i="12" s="1"/>
  <c r="AT42" i="12" s="1"/>
  <c r="AU42" i="12" s="1"/>
  <c r="AF42" i="12"/>
  <c r="AG42" i="12" s="1"/>
  <c r="AH42" i="12" s="1"/>
  <c r="AI42" i="12" s="1"/>
  <c r="AK42" i="12" s="1"/>
  <c r="AL42" i="12" s="1"/>
  <c r="X42" i="12"/>
  <c r="Y42" i="12" s="1"/>
  <c r="Z42" i="12" s="1"/>
  <c r="AA42" i="12" s="1"/>
  <c r="AC42" i="12" s="1"/>
  <c r="AD42" i="12" s="1"/>
  <c r="U42" i="12"/>
  <c r="V42" i="12" s="1"/>
  <c r="AL35" i="12"/>
  <c r="AD35" i="12"/>
  <c r="V35" i="12"/>
  <c r="AL34" i="12"/>
  <c r="AD34" i="12"/>
  <c r="V34" i="12"/>
  <c r="AL32" i="12"/>
  <c r="AD32" i="12"/>
  <c r="V32" i="12"/>
  <c r="AL31" i="12"/>
  <c r="AD31" i="12"/>
  <c r="V31" i="12"/>
  <c r="AL30" i="12"/>
  <c r="AD30" i="12"/>
  <c r="V30" i="12"/>
  <c r="AL29" i="12"/>
  <c r="AD29" i="12"/>
  <c r="V29" i="12"/>
  <c r="S27" i="12"/>
  <c r="S26" i="12"/>
  <c r="AG18" i="12"/>
  <c r="AX15" i="12"/>
  <c r="AX14" i="12"/>
  <c r="AX13" i="12"/>
  <c r="AX12" i="12"/>
  <c r="AX11" i="12"/>
  <c r="AX10" i="12"/>
  <c r="AX9" i="12"/>
  <c r="AO9" i="12"/>
  <c r="AG9" i="12"/>
  <c r="Y9" i="12"/>
  <c r="AX8" i="12"/>
  <c r="AV8" i="12"/>
  <c r="AX7" i="12"/>
  <c r="AX6" i="12"/>
  <c r="AX5" i="12"/>
  <c r="AD5" i="12"/>
  <c r="S5" i="12"/>
  <c r="I6" i="12" s="1"/>
  <c r="AX4" i="12"/>
  <c r="AD4" i="12"/>
  <c r="S4" i="12"/>
  <c r="AX3" i="12"/>
  <c r="AD3" i="12"/>
  <c r="S3" i="12"/>
  <c r="AX2" i="12"/>
  <c r="AD2" i="12"/>
  <c r="S2" i="12"/>
  <c r="AP57" i="11"/>
  <c r="AP56" i="11"/>
  <c r="AP55" i="11"/>
  <c r="AP54" i="11"/>
  <c r="AP53" i="11"/>
  <c r="AP52" i="11"/>
  <c r="AP51" i="11"/>
  <c r="AP50" i="11"/>
  <c r="AG50" i="11"/>
  <c r="Y50" i="11"/>
  <c r="AP49" i="11"/>
  <c r="AN49" i="11"/>
  <c r="AP48" i="11"/>
  <c r="AP47" i="11"/>
  <c r="AP46" i="11"/>
  <c r="AD46" i="11"/>
  <c r="S46" i="11"/>
  <c r="I47" i="11" s="1"/>
  <c r="AP45" i="11"/>
  <c r="AP44" i="11"/>
  <c r="AD44" i="11"/>
  <c r="AP43" i="11"/>
  <c r="AM43" i="11"/>
  <c r="AF42" i="11"/>
  <c r="AG42" i="11" s="1"/>
  <c r="AH42" i="11" s="1"/>
  <c r="AI42" i="11" s="1"/>
  <c r="AK42" i="11" s="1"/>
  <c r="AL42" i="11" s="1"/>
  <c r="AM42" i="11" s="1"/>
  <c r="X42" i="11"/>
  <c r="Y42" i="11" s="1"/>
  <c r="Z42" i="11" s="1"/>
  <c r="AA42" i="11" s="1"/>
  <c r="AC42" i="11" s="1"/>
  <c r="AD42" i="11" s="1"/>
  <c r="U42" i="11"/>
  <c r="V42" i="11" s="1"/>
  <c r="AD35" i="11"/>
  <c r="V35" i="11"/>
  <c r="AD34" i="11"/>
  <c r="V34" i="11"/>
  <c r="AD32" i="11"/>
  <c r="V32" i="11"/>
  <c r="AD31" i="11"/>
  <c r="V31" i="11"/>
  <c r="AD30" i="11"/>
  <c r="V30" i="11"/>
  <c r="AD29" i="11"/>
  <c r="V29" i="11"/>
  <c r="S27" i="11"/>
  <c r="S26" i="11"/>
  <c r="AG18" i="11"/>
  <c r="AP15" i="11"/>
  <c r="AP14" i="11"/>
  <c r="AP13" i="11"/>
  <c r="AP12" i="11"/>
  <c r="AP11" i="11"/>
  <c r="AP10" i="11"/>
  <c r="AP9" i="11"/>
  <c r="AG9" i="11"/>
  <c r="Y9" i="11"/>
  <c r="AP8" i="11"/>
  <c r="AN8" i="11"/>
  <c r="AP7" i="11"/>
  <c r="AP6" i="11"/>
  <c r="I6" i="11"/>
  <c r="S6" i="11" s="1"/>
  <c r="AP5" i="11"/>
  <c r="AD5" i="11"/>
  <c r="S5" i="11"/>
  <c r="AP4" i="11"/>
  <c r="AD4" i="11"/>
  <c r="S4" i="11"/>
  <c r="AP3" i="11"/>
  <c r="AD3" i="11"/>
  <c r="S3" i="11"/>
  <c r="AP2" i="11"/>
  <c r="AD2" i="11"/>
  <c r="S2" i="11"/>
  <c r="G15" i="10"/>
  <c r="E5" i="10"/>
  <c r="D7" i="9"/>
  <c r="F13" i="8"/>
  <c r="E13" i="8"/>
  <c r="F8" i="8"/>
  <c r="E8" i="8"/>
  <c r="D5" i="8"/>
  <c r="D4" i="8"/>
  <c r="D54" i="7"/>
  <c r="D53" i="7"/>
  <c r="G51" i="7"/>
  <c r="E46" i="7"/>
  <c r="G45" i="7"/>
  <c r="E44" i="7"/>
  <c r="G43" i="7"/>
  <c r="E43" i="7"/>
  <c r="G39" i="7"/>
  <c r="E39" i="7"/>
  <c r="E38" i="7"/>
  <c r="E37" i="7"/>
  <c r="G36" i="7"/>
  <c r="E36" i="7"/>
  <c r="G35" i="7"/>
  <c r="E35" i="7"/>
  <c r="G34" i="7"/>
  <c r="E34" i="7"/>
  <c r="E33" i="7"/>
  <c r="A33" i="7"/>
  <c r="D33" i="7" s="1"/>
  <c r="D35" i="7" s="1"/>
  <c r="G29" i="7"/>
  <c r="G28" i="7"/>
  <c r="G27" i="7"/>
  <c r="D19" i="7"/>
  <c r="E18" i="7"/>
  <c r="G17" i="7"/>
  <c r="E17" i="7"/>
  <c r="G16" i="7"/>
  <c r="E16" i="7"/>
  <c r="F15" i="7"/>
  <c r="F14" i="7"/>
  <c r="G13" i="7"/>
  <c r="E13" i="7"/>
  <c r="E12" i="7"/>
  <c r="F11" i="7"/>
  <c r="D5" i="7"/>
  <c r="D4" i="7"/>
  <c r="D5" i="6"/>
  <c r="AQ149" i="5"/>
  <c r="AP149" i="5"/>
  <c r="S48" i="29" s="1"/>
  <c r="K52" i="29" s="1"/>
  <c r="S52" i="29" s="1"/>
  <c r="AO149" i="5"/>
  <c r="S47" i="29" s="1"/>
  <c r="AN149" i="5"/>
  <c r="S46" i="29" s="1"/>
  <c r="AM149" i="5"/>
  <c r="AL149" i="5"/>
  <c r="AD48" i="29" s="1"/>
  <c r="AK149" i="5"/>
  <c r="AD47" i="29" s="1"/>
  <c r="AJ149" i="5"/>
  <c r="AI149" i="5"/>
  <c r="AH149" i="5"/>
  <c r="AQ144" i="5"/>
  <c r="AP144" i="5"/>
  <c r="S43" i="28" s="1"/>
  <c r="I44" i="28" s="1"/>
  <c r="AO144" i="5"/>
  <c r="S42" i="28" s="1"/>
  <c r="AN144" i="5"/>
  <c r="S41" i="28" s="1"/>
  <c r="AM144" i="5"/>
  <c r="AL144" i="5"/>
  <c r="AC43" i="28" s="1"/>
  <c r="AK144" i="5"/>
  <c r="AC42" i="28" s="1"/>
  <c r="AJ144" i="5"/>
  <c r="AI144" i="5"/>
  <c r="AH144" i="5"/>
  <c r="AQ139" i="5"/>
  <c r="AP139" i="5"/>
  <c r="S43" i="27" s="1"/>
  <c r="I44" i="27" s="1"/>
  <c r="S44" i="27" s="1"/>
  <c r="AO139" i="5"/>
  <c r="S42" i="27" s="1"/>
  <c r="AN139" i="5"/>
  <c r="S41" i="27" s="1"/>
  <c r="AM139" i="5"/>
  <c r="AL139" i="5"/>
  <c r="AC43" i="27" s="1"/>
  <c r="AK139" i="5"/>
  <c r="AC42" i="27" s="1"/>
  <c r="AJ139" i="5"/>
  <c r="AI139" i="5"/>
  <c r="AH139" i="5"/>
  <c r="F138" i="48" s="1"/>
  <c r="AQ133" i="5"/>
  <c r="AP133" i="5"/>
  <c r="S48" i="32" s="1"/>
  <c r="K52" i="32" s="1"/>
  <c r="S52" i="32" s="1"/>
  <c r="AO133" i="5"/>
  <c r="S47" i="32" s="1"/>
  <c r="AN133" i="5"/>
  <c r="S46" i="32" s="1"/>
  <c r="AM133" i="5"/>
  <c r="AL133" i="5"/>
  <c r="AD48" i="32" s="1"/>
  <c r="AK133" i="5"/>
  <c r="AD47" i="32" s="1"/>
  <c r="AJ133" i="5"/>
  <c r="AI133" i="5"/>
  <c r="AH133" i="5"/>
  <c r="AQ128" i="5"/>
  <c r="AP128" i="5"/>
  <c r="S44" i="31" s="1"/>
  <c r="I45" i="31" s="1"/>
  <c r="AO128" i="5"/>
  <c r="S43" i="31" s="1"/>
  <c r="AN128" i="5"/>
  <c r="S42" i="31" s="1"/>
  <c r="AM128" i="5"/>
  <c r="AL128" i="5"/>
  <c r="AG44" i="31" s="1"/>
  <c r="AK128" i="5"/>
  <c r="AG43" i="31" s="1"/>
  <c r="AJ128" i="5"/>
  <c r="AI128" i="5"/>
  <c r="AH128" i="5"/>
  <c r="AQ123" i="5"/>
  <c r="AP123" i="5"/>
  <c r="S44" i="30" s="1"/>
  <c r="I45" i="30" s="1"/>
  <c r="AO123" i="5"/>
  <c r="S43" i="30" s="1"/>
  <c r="AN123" i="5"/>
  <c r="S42" i="30" s="1"/>
  <c r="AM123" i="5"/>
  <c r="AL123" i="5"/>
  <c r="AG44" i="30" s="1"/>
  <c r="AK123" i="5"/>
  <c r="AG43" i="30" s="1"/>
  <c r="AJ123" i="5"/>
  <c r="AI123" i="5"/>
  <c r="AH123" i="5"/>
  <c r="AQ117" i="5"/>
  <c r="AP117" i="5"/>
  <c r="S48" i="26" s="1"/>
  <c r="K52" i="26" s="1"/>
  <c r="S52" i="26" s="1"/>
  <c r="AO117" i="5"/>
  <c r="S47" i="26" s="1"/>
  <c r="AN117" i="5"/>
  <c r="S46" i="26" s="1"/>
  <c r="AM117" i="5"/>
  <c r="AL117" i="5"/>
  <c r="AD48" i="26" s="1"/>
  <c r="AK117" i="5"/>
  <c r="AD47" i="26" s="1"/>
  <c r="AJ117" i="5"/>
  <c r="AI117" i="5"/>
  <c r="AH117" i="5"/>
  <c r="AQ112" i="5"/>
  <c r="AP112" i="5"/>
  <c r="S43" i="24" s="1"/>
  <c r="I44" i="24" s="1"/>
  <c r="S44" i="24" s="1"/>
  <c r="AO112" i="5"/>
  <c r="S42" i="24" s="1"/>
  <c r="AN112" i="5"/>
  <c r="S41" i="24" s="1"/>
  <c r="AM112" i="5"/>
  <c r="AL112" i="5"/>
  <c r="AC43" i="24" s="1"/>
  <c r="AK112" i="5"/>
  <c r="AC42" i="24" s="1"/>
  <c r="AJ112" i="5"/>
  <c r="AI112" i="5"/>
  <c r="AH112" i="5"/>
  <c r="AQ107" i="5"/>
  <c r="AP107" i="5"/>
  <c r="S43" i="23" s="1"/>
  <c r="I44" i="23" s="1"/>
  <c r="AO107" i="5"/>
  <c r="S42" i="23" s="1"/>
  <c r="AN107" i="5"/>
  <c r="S41" i="23" s="1"/>
  <c r="AM107" i="5"/>
  <c r="AL107" i="5"/>
  <c r="AC43" i="23" s="1"/>
  <c r="AK107" i="5"/>
  <c r="AC42" i="23" s="1"/>
  <c r="AJ107" i="5"/>
  <c r="AI107" i="5"/>
  <c r="AH107" i="5"/>
  <c r="AQ102" i="5"/>
  <c r="AP102" i="5"/>
  <c r="S43" i="22" s="1"/>
  <c r="I44" i="22" s="1"/>
  <c r="AO102" i="5"/>
  <c r="S42" i="22" s="1"/>
  <c r="AN102" i="5"/>
  <c r="S41" i="22" s="1"/>
  <c r="AM102" i="5"/>
  <c r="AL102" i="5"/>
  <c r="AC43" i="22" s="1"/>
  <c r="AK102" i="5"/>
  <c r="AC42" i="22" s="1"/>
  <c r="AJ102" i="5"/>
  <c r="AI102" i="5"/>
  <c r="AH102" i="5"/>
  <c r="AQ97" i="5"/>
  <c r="AP97" i="5"/>
  <c r="AO97" i="5"/>
  <c r="S42" i="21" s="1"/>
  <c r="AN97" i="5"/>
  <c r="S41" i="21" s="1"/>
  <c r="AM97" i="5"/>
  <c r="AL97" i="5"/>
  <c r="AC43" i="21" s="1"/>
  <c r="AK97" i="5"/>
  <c r="AC42" i="21" s="1"/>
  <c r="AJ97" i="5"/>
  <c r="AI97" i="5"/>
  <c r="AH97" i="5"/>
  <c r="AQ81" i="5"/>
  <c r="S46" i="13" s="1"/>
  <c r="I47" i="13" s="1"/>
  <c r="S47" i="13" s="1"/>
  <c r="AP81" i="5"/>
  <c r="AO81" i="5"/>
  <c r="S44" i="13" s="1"/>
  <c r="AN81" i="5"/>
  <c r="S43" i="14" s="1"/>
  <c r="AM81" i="5"/>
  <c r="AL81" i="5"/>
  <c r="AD45" i="14" s="1"/>
  <c r="AK81" i="5"/>
  <c r="AD44" i="13" s="1"/>
  <c r="AJ81" i="5"/>
  <c r="AD43" i="14" s="1"/>
  <c r="AI81" i="5"/>
  <c r="AH81" i="5"/>
  <c r="AQ76" i="5"/>
  <c r="S45" i="25" s="1"/>
  <c r="AP76" i="5"/>
  <c r="S44" i="25" s="1"/>
  <c r="AO76" i="5"/>
  <c r="S43" i="25" s="1"/>
  <c r="AN76" i="5"/>
  <c r="S42" i="25" s="1"/>
  <c r="AM76" i="5"/>
  <c r="AC45" i="25" s="1"/>
  <c r="AL76" i="5"/>
  <c r="AC44" i="25" s="1"/>
  <c r="AK76" i="5"/>
  <c r="AC43" i="25" s="1"/>
  <c r="AJ76" i="5"/>
  <c r="AI76" i="5"/>
  <c r="AH76" i="5"/>
  <c r="AQ71" i="5"/>
  <c r="S48" i="20" s="1"/>
  <c r="AP71" i="5"/>
  <c r="S47" i="20" s="1"/>
  <c r="AO71" i="5"/>
  <c r="S46" i="20" s="1"/>
  <c r="AN71" i="5"/>
  <c r="S45" i="20" s="1"/>
  <c r="AM71" i="5"/>
  <c r="AB48" i="20" s="1"/>
  <c r="AL71" i="5"/>
  <c r="AB47" i="20" s="1"/>
  <c r="AK71" i="5"/>
  <c r="AB46" i="20" s="1"/>
  <c r="AJ71" i="5"/>
  <c r="AI71" i="5"/>
  <c r="AH71" i="5"/>
  <c r="AQ66" i="5"/>
  <c r="S46" i="15" s="1"/>
  <c r="I47" i="15" s="1"/>
  <c r="AP66" i="5"/>
  <c r="AO66" i="5"/>
  <c r="AN66" i="5"/>
  <c r="S43" i="15" s="1"/>
  <c r="AM66" i="5"/>
  <c r="AD46" i="15" s="1"/>
  <c r="AL66" i="5"/>
  <c r="AD45" i="15" s="1"/>
  <c r="AK66" i="5"/>
  <c r="AJ66" i="5"/>
  <c r="AI66" i="5"/>
  <c r="AH66" i="5"/>
  <c r="AQ61" i="5"/>
  <c r="S46" i="18" s="1"/>
  <c r="J48" i="18" s="1"/>
  <c r="AP61" i="5"/>
  <c r="S45" i="18" s="1"/>
  <c r="AO61" i="5"/>
  <c r="S44" i="18" s="1"/>
  <c r="AN61" i="5"/>
  <c r="S43" i="18" s="1"/>
  <c r="AM61" i="5"/>
  <c r="AD46" i="18" s="1"/>
  <c r="AL61" i="5"/>
  <c r="AD45" i="18" s="1"/>
  <c r="AK61" i="5"/>
  <c r="AD44" i="18" s="1"/>
  <c r="AJ61" i="5"/>
  <c r="AD43" i="18" s="1"/>
  <c r="AI61" i="5"/>
  <c r="AH61" i="5"/>
  <c r="AQ56" i="5"/>
  <c r="AP56" i="5"/>
  <c r="S45" i="17" s="1"/>
  <c r="AO56" i="5"/>
  <c r="S44" i="17" s="1"/>
  <c r="AN56" i="5"/>
  <c r="S43" i="17" s="1"/>
  <c r="AM56" i="5"/>
  <c r="AD46" i="17" s="1"/>
  <c r="AL56" i="5"/>
  <c r="AD45" i="17" s="1"/>
  <c r="AJ56" i="5"/>
  <c r="AH56" i="5"/>
  <c r="G56" i="5"/>
  <c r="AI56" i="5" s="1"/>
  <c r="AQ51" i="5"/>
  <c r="U80" i="19" s="1"/>
  <c r="I81" i="19" s="1"/>
  <c r="J82" i="19" s="1"/>
  <c r="AP51" i="5"/>
  <c r="U79" i="19" s="1"/>
  <c r="AO51" i="5"/>
  <c r="U78" i="19" s="1"/>
  <c r="AN51" i="5"/>
  <c r="AM51" i="5"/>
  <c r="AG80" i="19" s="1"/>
  <c r="AL51" i="5"/>
  <c r="AG79" i="19" s="1"/>
  <c r="AJ51" i="5"/>
  <c r="AI51" i="5"/>
  <c r="AH51" i="5"/>
  <c r="AQ48" i="5"/>
  <c r="U66" i="19" s="1"/>
  <c r="I67" i="19" s="1"/>
  <c r="J68" i="19" s="1"/>
  <c r="AP48" i="5"/>
  <c r="U65" i="19" s="1"/>
  <c r="AO48" i="5"/>
  <c r="U64" i="19" s="1"/>
  <c r="AN48" i="5"/>
  <c r="AM48" i="5"/>
  <c r="AG66" i="19" s="1"/>
  <c r="AL48" i="5"/>
  <c r="AG65" i="19" s="1"/>
  <c r="AJ48" i="5"/>
  <c r="AI48" i="5"/>
  <c r="AH48" i="5"/>
  <c r="AQ45" i="5"/>
  <c r="U52" i="19" s="1"/>
  <c r="I53" i="19" s="1"/>
  <c r="J54" i="19" s="1"/>
  <c r="AP45" i="5"/>
  <c r="U51" i="19" s="1"/>
  <c r="AO45" i="5"/>
  <c r="U50" i="19" s="1"/>
  <c r="AN45" i="5"/>
  <c r="U49" i="19" s="1"/>
  <c r="AM45" i="5"/>
  <c r="AL45" i="5"/>
  <c r="AG51" i="19" s="1"/>
  <c r="AJ45" i="5"/>
  <c r="AH45" i="5"/>
  <c r="G45" i="5"/>
  <c r="AI45" i="5" s="1"/>
  <c r="AQ40" i="5"/>
  <c r="S70" i="16" s="1"/>
  <c r="I71" i="16" s="1"/>
  <c r="J72" i="16" s="1"/>
  <c r="AP40" i="5"/>
  <c r="S69" i="16" s="1"/>
  <c r="AO40" i="5"/>
  <c r="AN40" i="5"/>
  <c r="AM40" i="5"/>
  <c r="AD70" i="16" s="1"/>
  <c r="AL40" i="5"/>
  <c r="AD69" i="16" s="1"/>
  <c r="AJ40" i="5"/>
  <c r="AH40" i="5"/>
  <c r="AQ37" i="5"/>
  <c r="S58" i="16" s="1"/>
  <c r="I59" i="16" s="1"/>
  <c r="J60" i="16" s="1"/>
  <c r="AP37" i="5"/>
  <c r="AO37" i="5"/>
  <c r="S56" i="16" s="1"/>
  <c r="AN37" i="5"/>
  <c r="AM37" i="5"/>
  <c r="AD58" i="16" s="1"/>
  <c r="AL37" i="5"/>
  <c r="AJ37" i="5"/>
  <c r="AH37" i="5"/>
  <c r="AQ34" i="5"/>
  <c r="L22" i="64" s="1"/>
  <c r="F23" i="64" s="1"/>
  <c r="AP34" i="5"/>
  <c r="L21" i="64" s="1"/>
  <c r="AO34" i="5"/>
  <c r="L20" i="64" s="1"/>
  <c r="AN34" i="5"/>
  <c r="AM34" i="5"/>
  <c r="O22" i="64" s="1"/>
  <c r="AL34" i="5"/>
  <c r="AJ34" i="5"/>
  <c r="AH34" i="5"/>
  <c r="G34" i="5"/>
  <c r="AI40" i="5" s="1"/>
  <c r="AQ24" i="5"/>
  <c r="AP24" i="5"/>
  <c r="AO24" i="5"/>
  <c r="AN24" i="5"/>
  <c r="AM24" i="5"/>
  <c r="AD70" i="12" s="1"/>
  <c r="AL24" i="5"/>
  <c r="AJ24" i="5"/>
  <c r="AH24" i="5"/>
  <c r="AQ21" i="5"/>
  <c r="S58" i="12" s="1"/>
  <c r="I59" i="12" s="1"/>
  <c r="J60" i="12" s="1"/>
  <c r="AP21" i="5"/>
  <c r="S57" i="12" s="1"/>
  <c r="AO21" i="5"/>
  <c r="AN21" i="5"/>
  <c r="AM21" i="5"/>
  <c r="AL21" i="5"/>
  <c r="AJ21" i="5"/>
  <c r="AI21" i="5"/>
  <c r="AH21" i="5"/>
  <c r="AQ18" i="5"/>
  <c r="AP18" i="5"/>
  <c r="S45" i="12" s="1"/>
  <c r="AO18" i="5"/>
  <c r="AN18" i="5"/>
  <c r="S43" i="12" s="1"/>
  <c r="AM18" i="5"/>
  <c r="AD46" i="12" s="1"/>
  <c r="AL18" i="5"/>
  <c r="AD45" i="12" s="1"/>
  <c r="AJ18" i="5"/>
  <c r="G27" i="48" s="1"/>
  <c r="AH18" i="5"/>
  <c r="G18" i="5"/>
  <c r="AQ13" i="5"/>
  <c r="AP13" i="5"/>
  <c r="S45" i="11" s="1"/>
  <c r="AO13" i="5"/>
  <c r="S44" i="11" s="1"/>
  <c r="AN13" i="5"/>
  <c r="S43" i="11" s="1"/>
  <c r="AM13" i="5"/>
  <c r="AL13" i="5"/>
  <c r="AD45" i="11" s="1"/>
  <c r="AK13" i="5"/>
  <c r="AJ13" i="5"/>
  <c r="AI13" i="5"/>
  <c r="AH13" i="5"/>
  <c r="D6" i="5"/>
  <c r="D5" i="5"/>
  <c r="R13" i="4"/>
  <c r="I11" i="50" s="1"/>
  <c r="P13" i="4"/>
  <c r="I13" i="4"/>
  <c r="Q13" i="4" s="1"/>
  <c r="E7" i="4"/>
  <c r="D5" i="4"/>
  <c r="O22" i="3"/>
  <c r="M22" i="3" a="1"/>
  <c r="M22" i="3"/>
  <c r="E22" i="3"/>
  <c r="G21" i="3"/>
  <c r="N56" i="5" s="1"/>
  <c r="AK56" i="5" s="1"/>
  <c r="AD44" i="17" s="1"/>
  <c r="E21" i="3"/>
  <c r="O19" i="3"/>
  <c r="M19" i="3" a="1"/>
  <c r="M19" i="3"/>
  <c r="E19" i="3"/>
  <c r="G18" i="3"/>
  <c r="E18" i="3"/>
  <c r="O16" i="3"/>
  <c r="M16" i="3" a="1"/>
  <c r="M16" i="3"/>
  <c r="E16" i="3"/>
  <c r="G15" i="3"/>
  <c r="N21" i="5" s="1"/>
  <c r="AK21" i="5" s="1"/>
  <c r="AD56" i="12" s="1"/>
  <c r="E15" i="3"/>
  <c r="O13" i="3"/>
  <c r="M13" i="3" a="1"/>
  <c r="M13" i="3"/>
  <c r="J13" i="3"/>
  <c r="E13" i="3"/>
  <c r="E12" i="3"/>
  <c r="G12" i="3" s="1"/>
  <c r="E59" i="2"/>
  <c r="E49" i="2"/>
  <c r="E41" i="2"/>
  <c r="E31" i="2"/>
  <c r="E27" i="2"/>
  <c r="E26" i="2"/>
  <c r="F25" i="2"/>
  <c r="E22" i="2"/>
  <c r="E21" i="2"/>
  <c r="F20" i="2"/>
  <c r="E19" i="2"/>
  <c r="I9" i="2"/>
  <c r="E3" i="2"/>
  <c r="E2" i="2"/>
  <c r="H46" i="51" l="1"/>
  <c r="G50" i="51"/>
  <c r="H47" i="51"/>
  <c r="H48" i="51"/>
  <c r="J48" i="11"/>
  <c r="S47" i="11"/>
  <c r="J7" i="12"/>
  <c r="S6" i="12"/>
  <c r="N34" i="5"/>
  <c r="AK34" i="5" s="1"/>
  <c r="N18" i="5"/>
  <c r="AK18" i="5" s="1"/>
  <c r="AD44" i="12" s="1"/>
  <c r="N45" i="5"/>
  <c r="AK45" i="5" s="1"/>
  <c r="AG50" i="19" s="1"/>
  <c r="B5" i="1"/>
  <c r="D4" i="4"/>
  <c r="S60" i="12"/>
  <c r="K61" i="12"/>
  <c r="S61" i="12" s="1"/>
  <c r="I11" i="37"/>
  <c r="I11" i="38"/>
  <c r="I10" i="50"/>
  <c r="H10" i="45"/>
  <c r="H15" i="34"/>
  <c r="I26" i="33"/>
  <c r="I8" i="39"/>
  <c r="M11" i="35"/>
  <c r="I27" i="40"/>
  <c r="K61" i="16"/>
  <c r="S61" i="16" s="1"/>
  <c r="S60" i="16"/>
  <c r="K73" i="16"/>
  <c r="S73" i="16" s="1"/>
  <c r="S72" i="16"/>
  <c r="J48" i="15"/>
  <c r="S47" i="15"/>
  <c r="J45" i="28"/>
  <c r="S44" i="28"/>
  <c r="K69" i="19"/>
  <c r="U68" i="19"/>
  <c r="K83" i="19"/>
  <c r="U82" i="19"/>
  <c r="S44" i="23"/>
  <c r="J45" i="23"/>
  <c r="G190" i="48"/>
  <c r="G129" i="48"/>
  <c r="AG42" i="30"/>
  <c r="G312" i="48"/>
  <c r="G66" i="48"/>
  <c r="G251" i="48"/>
  <c r="F193" i="48"/>
  <c r="F132" i="48"/>
  <c r="F315" i="48"/>
  <c r="F69" i="48"/>
  <c r="F254" i="48"/>
  <c r="S45" i="31"/>
  <c r="J46" i="31"/>
  <c r="G202" i="48"/>
  <c r="G324" i="48"/>
  <c r="G263" i="48"/>
  <c r="G78" i="48"/>
  <c r="G141" i="48"/>
  <c r="AC41" i="28"/>
  <c r="F205" i="48"/>
  <c r="F144" i="48"/>
  <c r="F327" i="48"/>
  <c r="F81" i="48"/>
  <c r="F266" i="48"/>
  <c r="D23" i="7"/>
  <c r="D22" i="7"/>
  <c r="D20" i="7"/>
  <c r="J7" i="11"/>
  <c r="J72" i="12"/>
  <c r="S43" i="13"/>
  <c r="AD44" i="14"/>
  <c r="S46" i="16"/>
  <c r="J48" i="17"/>
  <c r="I47" i="17"/>
  <c r="J45" i="21"/>
  <c r="S44" i="21"/>
  <c r="J45" i="24"/>
  <c r="N48" i="5"/>
  <c r="AK48" i="5" s="1"/>
  <c r="AG64" i="19" s="1"/>
  <c r="G166" i="48"/>
  <c r="G42" i="48"/>
  <c r="G105" i="48"/>
  <c r="G288" i="48"/>
  <c r="AD43" i="15"/>
  <c r="G227" i="48"/>
  <c r="G236" i="48"/>
  <c r="G175" i="48"/>
  <c r="AC41" i="21"/>
  <c r="G297" i="48"/>
  <c r="G51" i="48"/>
  <c r="G114" i="48"/>
  <c r="F239" i="48"/>
  <c r="F178" i="48"/>
  <c r="F117" i="48"/>
  <c r="F300" i="48"/>
  <c r="F54" i="48"/>
  <c r="J46" i="30"/>
  <c r="S45" i="30"/>
  <c r="G260" i="48"/>
  <c r="G199" i="48"/>
  <c r="G321" i="48"/>
  <c r="G75" i="48"/>
  <c r="G138" i="48"/>
  <c r="AC41" i="27"/>
  <c r="F263" i="48"/>
  <c r="F202" i="48"/>
  <c r="F141" i="48"/>
  <c r="F324" i="48"/>
  <c r="F78" i="48"/>
  <c r="L23" i="64"/>
  <c r="G24" i="64"/>
  <c r="G96" i="48"/>
  <c r="G218" i="48"/>
  <c r="G279" i="48"/>
  <c r="G33" i="48"/>
  <c r="AG49" i="19"/>
  <c r="G157" i="48"/>
  <c r="K51" i="20"/>
  <c r="S51" i="20" s="1"/>
  <c r="J50" i="20"/>
  <c r="I49" i="20"/>
  <c r="S59" i="12"/>
  <c r="K8" i="16"/>
  <c r="S8" i="16" s="1"/>
  <c r="S7" i="16"/>
  <c r="J6" i="31"/>
  <c r="S5" i="31"/>
  <c r="F87" i="48"/>
  <c r="F24" i="48"/>
  <c r="F148" i="48"/>
  <c r="F209" i="48"/>
  <c r="F270" i="48"/>
  <c r="AI34" i="5"/>
  <c r="N37" i="5"/>
  <c r="AK37" i="5" s="1"/>
  <c r="AD56" i="16" s="1"/>
  <c r="G108" i="48"/>
  <c r="G169" i="48"/>
  <c r="G230" i="48"/>
  <c r="AB45" i="20"/>
  <c r="G291" i="48"/>
  <c r="G45" i="48"/>
  <c r="F111" i="48"/>
  <c r="F294" i="48"/>
  <c r="F48" i="48"/>
  <c r="F233" i="48"/>
  <c r="F172" i="48"/>
  <c r="G178" i="48"/>
  <c r="G300" i="48"/>
  <c r="G239" i="48"/>
  <c r="G54" i="48"/>
  <c r="G117" i="48"/>
  <c r="F181" i="48"/>
  <c r="F120" i="48"/>
  <c r="F303" i="48"/>
  <c r="F57" i="48"/>
  <c r="F242" i="48"/>
  <c r="G154" i="48"/>
  <c r="O19" i="64"/>
  <c r="G276" i="48"/>
  <c r="G215" i="48"/>
  <c r="G93" i="48"/>
  <c r="G30" i="48"/>
  <c r="AD43" i="16"/>
  <c r="K48" i="25"/>
  <c r="S48" i="25" s="1"/>
  <c r="I46" i="25"/>
  <c r="J47" i="25"/>
  <c r="D21" i="7"/>
  <c r="K8" i="17"/>
  <c r="S8" i="17" s="1"/>
  <c r="S7" i="17"/>
  <c r="K49" i="18"/>
  <c r="S49" i="18" s="1"/>
  <c r="S48" i="18"/>
  <c r="K49" i="12"/>
  <c r="S49" i="12" s="1"/>
  <c r="S48" i="12"/>
  <c r="S48" i="13"/>
  <c r="K8" i="19"/>
  <c r="U7" i="19"/>
  <c r="J6" i="21"/>
  <c r="S5" i="21"/>
  <c r="AC41" i="22"/>
  <c r="F157" i="48"/>
  <c r="F96" i="48"/>
  <c r="F279" i="48"/>
  <c r="F33" i="48"/>
  <c r="F218" i="48"/>
  <c r="F169" i="48"/>
  <c r="F108" i="48"/>
  <c r="F291" i="48"/>
  <c r="F45" i="48"/>
  <c r="F230" i="48"/>
  <c r="J45" i="22"/>
  <c r="S44" i="22"/>
  <c r="G248" i="48"/>
  <c r="G309" i="48"/>
  <c r="G63" i="48"/>
  <c r="AD46" i="26"/>
  <c r="G126" i="48"/>
  <c r="G187" i="48"/>
  <c r="F251" i="48"/>
  <c r="F190" i="48"/>
  <c r="F129" i="48"/>
  <c r="F312" i="48"/>
  <c r="F66" i="48"/>
  <c r="J48" i="14"/>
  <c r="S47" i="14"/>
  <c r="G87" i="48"/>
  <c r="G270" i="48"/>
  <c r="G24" i="48"/>
  <c r="G209" i="48"/>
  <c r="G5" i="48"/>
  <c r="G148" i="48"/>
  <c r="G2" i="48"/>
  <c r="AD43" i="11"/>
  <c r="AI18" i="5"/>
  <c r="AI24" i="5"/>
  <c r="O21" i="64"/>
  <c r="AD45" i="16"/>
  <c r="AI37" i="5"/>
  <c r="F99" i="48"/>
  <c r="F282" i="48"/>
  <c r="F36" i="48"/>
  <c r="F221" i="48"/>
  <c r="F160" i="48"/>
  <c r="F285" i="48"/>
  <c r="F39" i="48"/>
  <c r="F224" i="48"/>
  <c r="F163" i="48"/>
  <c r="F102" i="48"/>
  <c r="G294" i="48"/>
  <c r="G111" i="48"/>
  <c r="G172" i="48"/>
  <c r="AC42" i="25"/>
  <c r="G233" i="48"/>
  <c r="G48" i="48"/>
  <c r="S45" i="13"/>
  <c r="S45" i="14"/>
  <c r="G120" i="48"/>
  <c r="G242" i="48"/>
  <c r="G303" i="48"/>
  <c r="G57" i="48"/>
  <c r="G181" i="48"/>
  <c r="AC41" i="23"/>
  <c r="F123" i="48"/>
  <c r="F306" i="48"/>
  <c r="F60" i="48"/>
  <c r="F245" i="48"/>
  <c r="F184" i="48"/>
  <c r="G132" i="48"/>
  <c r="G193" i="48"/>
  <c r="AG42" i="31"/>
  <c r="G254" i="48"/>
  <c r="G315" i="48"/>
  <c r="G69" i="48"/>
  <c r="F135" i="48"/>
  <c r="F318" i="48"/>
  <c r="F72" i="48"/>
  <c r="F257" i="48"/>
  <c r="F196" i="48"/>
  <c r="G144" i="48"/>
  <c r="G327" i="48"/>
  <c r="G266" i="48"/>
  <c r="G81" i="48"/>
  <c r="AD46" i="29"/>
  <c r="G205" i="48"/>
  <c r="J7" i="15"/>
  <c r="S6" i="15"/>
  <c r="F273" i="48"/>
  <c r="F27" i="48"/>
  <c r="F212" i="48"/>
  <c r="F151" i="48"/>
  <c r="F90" i="48"/>
  <c r="G282" i="48"/>
  <c r="G221" i="48"/>
  <c r="G36" i="48"/>
  <c r="G99" i="48"/>
  <c r="G160" i="48"/>
  <c r="AD43" i="17"/>
  <c r="N51" i="5"/>
  <c r="AK51" i="5" s="1"/>
  <c r="AG78" i="19" s="1"/>
  <c r="N40" i="5"/>
  <c r="AK40" i="5" s="1"/>
  <c r="AD68" i="16" s="1"/>
  <c r="N24" i="5"/>
  <c r="AK24" i="5" s="1"/>
  <c r="AD68" i="12" s="1"/>
  <c r="L19" i="64"/>
  <c r="S43" i="16"/>
  <c r="K7" i="22"/>
  <c r="S7" i="22" s="1"/>
  <c r="S6" i="22"/>
  <c r="J6" i="24"/>
  <c r="S5" i="24"/>
  <c r="K55" i="19"/>
  <c r="U54" i="19"/>
  <c r="D37" i="7"/>
  <c r="D38" i="7" s="1"/>
  <c r="D39" i="7" s="1"/>
  <c r="D34" i="7"/>
  <c r="D36" i="7"/>
  <c r="AD45" i="13"/>
  <c r="S6" i="23"/>
  <c r="K7" i="23"/>
  <c r="S7" i="23" s="1"/>
  <c r="AD43" i="12"/>
  <c r="S44" i="14"/>
  <c r="S44" i="16"/>
  <c r="I6" i="20"/>
  <c r="K7" i="30"/>
  <c r="S7" i="30" s="1"/>
  <c r="H54" i="43"/>
  <c r="I48" i="43"/>
  <c r="H48" i="43" s="1"/>
  <c r="I9" i="50"/>
  <c r="H14" i="34"/>
  <c r="I26" i="40"/>
  <c r="I10" i="38"/>
  <c r="H9" i="45"/>
  <c r="I25" i="33"/>
  <c r="I10" i="37"/>
  <c r="I7" i="39"/>
  <c r="M10" i="35"/>
  <c r="J7" i="20"/>
  <c r="J45" i="27"/>
  <c r="S45" i="16"/>
  <c r="I28" i="40"/>
  <c r="M12" i="35"/>
  <c r="H16" i="34"/>
  <c r="I9" i="39"/>
  <c r="I12" i="37"/>
  <c r="I12" i="38"/>
  <c r="I27" i="33"/>
  <c r="H11" i="45"/>
  <c r="G212" i="48"/>
  <c r="G151" i="48"/>
  <c r="G273" i="48"/>
  <c r="G90" i="48"/>
  <c r="F215" i="48"/>
  <c r="F154" i="48"/>
  <c r="F93" i="48"/>
  <c r="F276" i="48"/>
  <c r="F30" i="48"/>
  <c r="G224" i="48"/>
  <c r="G285" i="48"/>
  <c r="G102" i="48"/>
  <c r="G39" i="48"/>
  <c r="G163" i="48"/>
  <c r="F227" i="48"/>
  <c r="F166" i="48"/>
  <c r="F105" i="48"/>
  <c r="F288" i="48"/>
  <c r="F42" i="48"/>
  <c r="F297" i="48"/>
  <c r="F51" i="48"/>
  <c r="F236" i="48"/>
  <c r="F175" i="48"/>
  <c r="G306" i="48"/>
  <c r="G60" i="48"/>
  <c r="G245" i="48"/>
  <c r="G123" i="48"/>
  <c r="G184" i="48"/>
  <c r="F309" i="48"/>
  <c r="F63" i="48"/>
  <c r="F248" i="48"/>
  <c r="F187" i="48"/>
  <c r="F126" i="48"/>
  <c r="G318" i="48"/>
  <c r="G72" i="48"/>
  <c r="G135" i="48"/>
  <c r="G196" i="48"/>
  <c r="AD46" i="32"/>
  <c r="G257" i="48"/>
  <c r="F321" i="48"/>
  <c r="F75" i="48"/>
  <c r="F260" i="48"/>
  <c r="F199" i="48"/>
  <c r="S5" i="28"/>
  <c r="S5" i="30"/>
  <c r="AC41" i="24"/>
  <c r="B34" i="33"/>
  <c r="K33" i="33"/>
  <c r="I6" i="25"/>
  <c r="K69" i="33"/>
  <c r="H15" i="43"/>
  <c r="I38" i="43"/>
  <c r="AA11" i="63"/>
  <c r="E6" i="62"/>
  <c r="U14" i="63"/>
  <c r="G46" i="51"/>
  <c r="G48" i="51"/>
  <c r="H50" i="51"/>
  <c r="E32" i="62"/>
  <c r="AA12" i="63"/>
  <c r="U148" i="63"/>
  <c r="J50" i="51"/>
  <c r="J52" i="51"/>
  <c r="F10" i="55"/>
  <c r="D49" i="61"/>
  <c r="E29" i="62"/>
  <c r="AA15" i="63"/>
  <c r="G49" i="51"/>
  <c r="G53" i="51"/>
  <c r="F2" i="54"/>
  <c r="E5" i="62"/>
  <c r="AA13" i="63"/>
  <c r="G47" i="51"/>
  <c r="H49" i="51"/>
  <c r="E30" i="62"/>
  <c r="K7" i="21" l="1"/>
  <c r="S7" i="21" s="1"/>
  <c r="S6" i="21"/>
  <c r="K73" i="12"/>
  <c r="S73" i="12" s="1"/>
  <c r="S72" i="12"/>
  <c r="U83" i="19"/>
  <c r="L84" i="19"/>
  <c r="U84" i="19" s="1"/>
  <c r="H31" i="33"/>
  <c r="H136" i="33" s="1"/>
  <c r="I31" i="33"/>
  <c r="I136" i="33" s="1"/>
  <c r="S45" i="27"/>
  <c r="K46" i="27"/>
  <c r="S46" i="27" s="1"/>
  <c r="U8" i="19"/>
  <c r="L9" i="19"/>
  <c r="U9" i="19" s="1"/>
  <c r="K7" i="31"/>
  <c r="S7" i="31" s="1"/>
  <c r="S6" i="31"/>
  <c r="S45" i="21"/>
  <c r="K46" i="21"/>
  <c r="S46" i="21" s="1"/>
  <c r="L70" i="19"/>
  <c r="U70" i="19" s="1"/>
  <c r="U69" i="19"/>
  <c r="O20" i="64"/>
  <c r="AD44" i="16"/>
  <c r="K47" i="31"/>
  <c r="S47" i="31" s="1"/>
  <c r="S46" i="31"/>
  <c r="L56" i="19"/>
  <c r="U56" i="19" s="1"/>
  <c r="U55" i="19"/>
  <c r="K46" i="22"/>
  <c r="S46" i="22" s="1"/>
  <c r="S45" i="22"/>
  <c r="S45" i="24"/>
  <c r="K46" i="24"/>
  <c r="S46" i="24" s="1"/>
  <c r="K8" i="11"/>
  <c r="S8" i="11" s="1"/>
  <c r="S7" i="11"/>
  <c r="S48" i="17"/>
  <c r="K49" i="17"/>
  <c r="S49" i="17" s="1"/>
  <c r="S45" i="28"/>
  <c r="K46" i="28"/>
  <c r="S46" i="28" s="1"/>
  <c r="S7" i="12"/>
  <c r="K8" i="12"/>
  <c r="S8" i="12" s="1"/>
  <c r="S7" i="15"/>
  <c r="K8" i="15"/>
  <c r="S8" i="15" s="1"/>
  <c r="I58" i="43"/>
  <c r="H58" i="43" s="1"/>
  <c r="H38" i="43"/>
  <c r="S6" i="24"/>
  <c r="K7" i="24"/>
  <c r="S7" i="24" s="1"/>
  <c r="K47" i="30"/>
  <c r="S47" i="30" s="1"/>
  <c r="S46" i="30"/>
  <c r="J48" i="16"/>
  <c r="I47" i="16"/>
  <c r="S45" i="23"/>
  <c r="K46" i="23"/>
  <c r="S46" i="23" s="1"/>
  <c r="H25" i="64"/>
  <c r="L25" i="64" s="1"/>
  <c r="L24" i="64"/>
  <c r="D41" i="7"/>
  <c r="D40" i="7"/>
  <c r="D43" i="7"/>
  <c r="D44" i="7" s="1"/>
  <c r="D45" i="7" s="1"/>
  <c r="S48" i="14"/>
  <c r="K49" i="14"/>
  <c r="S49" i="14" s="1"/>
  <c r="K49" i="15"/>
  <c r="S49" i="15" s="1"/>
  <c r="S48" i="15"/>
  <c r="S48" i="11"/>
  <c r="K49" i="11"/>
  <c r="S49" i="11" s="1"/>
  <c r="D46" i="7" l="1"/>
  <c r="D51" i="7"/>
  <c r="D48" i="7"/>
  <c r="D49" i="7"/>
  <c r="D47" i="7"/>
  <c r="S48" i="16"/>
  <c r="K49" i="16"/>
  <c r="S49" i="1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E37" authorId="0" shapeId="0" xr:uid="{00000000-0006-0000-0100-00000100000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Z1" authorId="0" shapeId="0" xr:uid="{00000000-0006-0000-3200-000001000000}">
      <text>
        <r>
          <rPr>
            <sz val="9"/>
            <color indexed="81"/>
            <rFont val="Tahoma"/>
            <family val="2"/>
          </rPr>
          <t>Тип организации</t>
        </r>
      </text>
    </comment>
    <comment ref="L6" authorId="0" shapeId="0" xr:uid="{00000000-0006-0000-3200-00000200000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P2" authorId="0" shapeId="0" xr:uid="{00000000-0006-0000-3E00-000001000000}">
      <text>
        <r>
          <rPr>
            <sz val="9"/>
            <color indexed="81"/>
            <rFont val="Arial"/>
            <family val="2"/>
          </rPr>
          <t>сюда же для некоторых формул может входить:
- VOTV
- HOTVSNA</t>
        </r>
      </text>
    </comment>
    <comment ref="U2" authorId="0" shapeId="0" xr:uid="{00000000-0006-0000-3E00-00000200000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<sst xmlns="http://schemas.openxmlformats.org/spreadsheetml/2006/main" count="11725" uniqueCount="2975">
  <si>
    <t xml:space="preserve"> (требуется обновление)</t>
  </si>
  <si>
    <t>Код отчёта: PP110.OPEN.INFO.REQUEST.HEAT.EIAS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</si>
  <si>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</si>
  <si>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</si>
  <si>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</si>
  <si>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</si>
  <si>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</si>
  <si>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</si>
  <si>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</si>
  <si>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</si>
  <si>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</si>
  <si>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</si>
  <si>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</si>
  <si>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31342192</t>
  </si>
  <si>
    <t>Flag_Row_Size</t>
  </si>
  <si>
    <t>Субъект РФ</t>
  </si>
  <si>
    <t>Камчатский край</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</si>
  <si>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</si>
  <si>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</si>
  <si>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</si>
  <si>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</si>
  <si>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</si>
  <si>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</si>
  <si>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</si>
  <si>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</si>
  <si>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</si>
  <si>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</si>
  <si>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</si>
  <si>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</si>
  <si>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</si>
  <si>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</si>
  <si>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</si>
  <si>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</si>
  <si>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</si>
  <si>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</si>
  <si>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</si>
  <si>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</si>
  <si>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изменения в раскрытой ранее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</si>
  <si>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</si>
  <si>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</si>
  <si>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</si>
  <si>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04-23/156</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</si>
  <si>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</si>
  <si>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</si>
  <si>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</si>
  <si>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04-24/132, 04-24/131</t>
  </si>
  <si>
    <t>Наименование органа регулирования, принявшего решение об изменении тарифов</t>
  </si>
  <si>
    <t>ООО "РСО"</t>
  </si>
  <si>
    <t>Наименование (описание) обособленного подразделения</t>
  </si>
  <si>
    <t>ИНН</t>
  </si>
  <si>
    <t>4101172885</t>
  </si>
  <si>
    <t>КПП</t>
  </si>
  <si>
    <t>410101001</t>
  </si>
  <si>
    <t>Тип теплоснабжающей организации</t>
  </si>
  <si>
    <t>Регулируемая организация</t>
  </si>
  <si>
    <t>Система налогообложения</t>
  </si>
  <si>
    <t>УСН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</si>
  <si>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</si>
  <si>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</si>
  <si>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</si>
  <si>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sz val="9"/>
        <rFont val="Tahoma"/>
        <family val="2"/>
        <charset val="204"/>
      </rPr>
      <t>с (!)</t>
    </r>
    <r>
      <rPr>
        <sz val="9"/>
        <rFont val="Tahoma"/>
        <family val="2"/>
        <charset val="204"/>
      </rPr>
      <t xml:space="preserve"> разбивкой по поставщикам</t>
    </r>
  </si>
  <si>
    <r>
      <t xml:space="preserve">Тариф на горячую воду предлагается </t>
    </r>
    <r>
      <rPr>
        <b/>
        <sz val="9"/>
        <rFont val="Tahoma"/>
        <family val="2"/>
        <charset val="204"/>
      </rPr>
      <t>без (!)</t>
    </r>
    <r>
      <rPr>
        <sz val="9"/>
        <rFont val="Tahoma"/>
        <family val="2"/>
        <charset val="204"/>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</si>
  <si>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</si>
  <si>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</si>
  <si>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</si>
  <si>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</si>
  <si>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</si>
  <si>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</si>
  <si>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</si>
  <si>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</si>
  <si>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</si>
  <si>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683013, Камчатский край, г.Петропавловск-Камчатский, ул. Вулканная д.23, помещение 21</t>
  </si>
  <si>
    <t>Фамилия, имя, отчество руководителя</t>
  </si>
  <si>
    <t>Ким Сергей Сонильевич</t>
  </si>
  <si>
    <t>Ответственный за заполнение формы</t>
  </si>
  <si>
    <t>Фамилия, имя, отчество</t>
  </si>
  <si>
    <t>Федорова Наталья Игоревна</t>
  </si>
  <si>
    <t>Должность</t>
  </si>
  <si>
    <t>Ведущий специалист</t>
  </si>
  <si>
    <t>Контактный телефон</t>
  </si>
  <si>
    <t>79619685948</t>
  </si>
  <si>
    <t>E-mail</t>
  </si>
  <si>
    <t>rso41@yandex.ru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</si>
  <si>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</si>
  <si>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</si>
  <si>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</si>
  <si>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</si>
  <si>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</si>
  <si>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</si>
  <si>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</si>
  <si>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</si>
  <si>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</si>
  <si>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</si>
  <si>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</si>
  <si>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</si>
  <si>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</si>
  <si>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</si>
  <si>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</si>
  <si>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</si>
  <si>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</si>
  <si>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47</t>
  </si>
  <si>
    <t>Петропавловск-Камчатский</t>
  </si>
  <si>
    <t>30701000</t>
  </si>
  <si>
    <t>Добавить МО</t>
  </si>
  <si>
    <t>2</t>
  </si>
  <si>
    <t>×</t>
  </si>
  <si>
    <t>ter_5</t>
  </si>
  <si>
    <t>9</t>
  </si>
  <si>
    <t>Елизовский муниципальный район</t>
  </si>
  <si>
    <t>Елизовское городское поселение</t>
  </si>
  <si>
    <t>30607101</t>
  </si>
  <si>
    <t>ter_51</t>
  </si>
  <si>
    <t>15</t>
  </si>
  <si>
    <t>Новолесновское сельское поселение</t>
  </si>
  <si>
    <t>30607418</t>
  </si>
  <si>
    <t>ter_511</t>
  </si>
  <si>
    <t>Вилючинский ЗАТО</t>
  </si>
  <si>
    <t>30735000</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</si>
  <si>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</si>
  <si>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</si>
  <si>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</si>
  <si>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</si>
  <si>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</si>
  <si>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</si>
  <si>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</si>
  <si>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</si>
  <si>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</si>
  <si>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</si>
  <si>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</si>
  <si>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</si>
  <si>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</si>
  <si>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</si>
  <si>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</si>
  <si>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</si>
  <si>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</si>
  <si>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</si>
  <si>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</si>
  <si>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</si>
  <si>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</si>
  <si>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</si>
  <si>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</si>
  <si>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</si>
  <si>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</si>
  <si>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</si>
  <si>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</si>
  <si>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</si>
  <si>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</si>
  <si>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</si>
  <si>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</si>
  <si>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</si>
  <si>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</si>
  <si>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</si>
  <si>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</si>
  <si>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</si>
  <si>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</si>
  <si>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</si>
  <si>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</si>
  <si>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</si>
  <si>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</si>
  <si>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</si>
  <si>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</si>
  <si>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</si>
  <si>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</si>
  <si>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</si>
  <si>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</si>
  <si>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</si>
  <si>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</si>
  <si>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</si>
  <si>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</si>
  <si>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</si>
  <si>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</si>
  <si>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</si>
  <si>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</si>
  <si>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Тарифы на тепловую энергию (мощность), поставляемую теплоснабжающими организациями потребителям, другим теплоснабжающим организациям</t>
  </si>
  <si>
    <t>"4190064"; "4190067"; "4190068"; "4190069"; "4190070"; "4190071"</t>
  </si>
  <si>
    <t>pIns_PT_VTAR_B</t>
  </si>
  <si>
    <t>pt_ntar_2</t>
  </si>
  <si>
    <t>pt_ter_2</t>
  </si>
  <si>
    <t>pt_cs_2</t>
  </si>
  <si>
    <t>pt_ist_te_2</t>
  </si>
  <si>
    <t>Добавить источник для дифференциации</t>
  </si>
  <si>
    <t>Добавить централизованную систему для дифференциации</t>
  </si>
  <si>
    <t>pt_ter_30</t>
  </si>
  <si>
    <t>pt_cs_30</t>
  </si>
  <si>
    <t>pt_ist_te_30</t>
  </si>
  <si>
    <t>pt_ter_31</t>
  </si>
  <si>
    <t>pt_cs_31</t>
  </si>
  <si>
    <t>pt_ist_te_31</t>
  </si>
  <si>
    <t>Добавить территорию для дифференциации</t>
  </si>
  <si>
    <t>Добавить наименование тарифа</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</si>
  <si>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</si>
  <si>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</si>
  <si>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</si>
  <si>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</si>
  <si>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</si>
  <si>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</si>
  <si>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pt_ter_32</t>
  </si>
  <si>
    <t>pt_cs_32</t>
  </si>
  <si>
    <t>pt_ist_te_32</t>
  </si>
  <si>
    <t>pt_ter_33</t>
  </si>
  <si>
    <t>pt_cs_33</t>
  </si>
  <si>
    <t>pt_ist_te_33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</si>
  <si>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</si>
  <si>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</si>
  <si>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</si>
  <si>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</si>
  <si>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</si>
  <si>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</si>
  <si>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pt_ter_34</t>
  </si>
  <si>
    <t>pt_cs_34</t>
  </si>
  <si>
    <t>pt_ist_te_34</t>
  </si>
  <si>
    <t>pt_ter_35</t>
  </si>
  <si>
    <t>pt_cs_35</t>
  </si>
  <si>
    <t>pt_ist_te_35</t>
  </si>
  <si>
    <t>Тарифы на услуги по передаче тепловой энергии</t>
  </si>
  <si>
    <t>"4190068"</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</si>
  <si>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</si>
  <si>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</si>
  <si>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</si>
  <si>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</si>
  <si>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</si>
  <si>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</si>
  <si>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</si>
  <si>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</si>
  <si>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</si>
  <si>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</si>
  <si>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</si>
  <si>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</si>
  <si>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</si>
  <si>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</si>
  <si>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</si>
  <si>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</si>
  <si>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</si>
  <si>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</si>
  <si>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</si>
  <si>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</si>
  <si>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</si>
  <si>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</si>
  <si>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</si>
  <si>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</si>
  <si>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</si>
  <si>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</si>
  <si>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</si>
  <si>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</si>
  <si>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</si>
  <si>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</si>
  <si>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</si>
  <si>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</si>
  <si>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</si>
  <si>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</si>
  <si>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</si>
  <si>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</si>
  <si>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</si>
  <si>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</si>
  <si>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</si>
  <si>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</si>
  <si>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</si>
  <si>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</si>
  <si>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</si>
  <si>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</si>
  <si>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</si>
  <si>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</si>
  <si>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</si>
  <si>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</si>
  <si>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</si>
  <si>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</si>
  <si>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</si>
  <si>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</si>
  <si>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</si>
  <si>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</si>
  <si>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</si>
  <si>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</si>
  <si>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</si>
  <si>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</si>
  <si>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</si>
  <si>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</si>
  <si>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</si>
  <si>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</si>
  <si>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</si>
  <si>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</si>
  <si>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</si>
  <si>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</si>
  <si>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</si>
  <si>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</si>
  <si>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</si>
  <si>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</si>
  <si>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</si>
  <si>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</si>
  <si>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</si>
  <si>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</si>
  <si>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</si>
  <si>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</si>
  <si>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</si>
  <si>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</si>
  <si>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</si>
  <si>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</si>
  <si>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</si>
  <si>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</si>
  <si>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</si>
  <si>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</si>
  <si>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</si>
  <si>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</si>
  <si>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</si>
  <si>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</si>
  <si>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</si>
  <si>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</si>
  <si>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</si>
  <si>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</si>
  <si>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</si>
  <si>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</si>
  <si>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</si>
  <si>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</si>
  <si>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</si>
  <si>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</si>
  <si>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</si>
  <si>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</si>
  <si>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</si>
  <si>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</si>
  <si>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</si>
  <si>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</si>
  <si>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</si>
  <si>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</si>
  <si>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</si>
  <si>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</si>
  <si>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</si>
  <si>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</si>
  <si>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</si>
  <si>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</si>
  <si>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</si>
  <si>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</si>
  <si>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</si>
  <si>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</si>
  <si>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</si>
  <si>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</si>
  <si>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</si>
  <si>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</si>
  <si>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</si>
  <si>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</si>
  <si>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</si>
  <si>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</si>
  <si>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</si>
  <si>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</si>
  <si>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</si>
  <si>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</si>
  <si>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</si>
  <si>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</si>
  <si>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</si>
  <si>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</si>
  <si>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</si>
  <si>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</si>
  <si>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</si>
  <si>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</si>
  <si>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</si>
  <si>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</si>
  <si>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</si>
  <si>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</si>
  <si>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</si>
  <si>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</si>
  <si>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</si>
  <si>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</si>
  <si>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</si>
  <si>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</si>
  <si>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</si>
  <si>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</si>
  <si>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</si>
  <si>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</si>
  <si>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</si>
  <si>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</si>
  <si>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</si>
  <si>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</si>
  <si>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</si>
  <si>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</si>
  <si>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</si>
  <si>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</si>
  <si>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</si>
  <si>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</si>
  <si>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</si>
  <si>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</si>
  <si>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</si>
  <si>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</si>
  <si>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</si>
  <si>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</si>
  <si>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</si>
  <si>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</si>
  <si>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</si>
  <si>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</si>
  <si>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</si>
  <si>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</si>
  <si>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</si>
  <si>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</si>
  <si>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</si>
  <si>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</si>
  <si>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</si>
  <si>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</si>
  <si>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</si>
  <si>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</si>
  <si>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</si>
  <si>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</si>
  <si>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</si>
  <si>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</si>
  <si>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</si>
  <si>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</si>
  <si>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</si>
  <si>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</si>
  <si>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</si>
  <si>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</si>
  <si>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</si>
  <si>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</si>
  <si>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</si>
  <si>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</si>
  <si>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</si>
  <si>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</si>
  <si>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</si>
  <si>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</si>
  <si>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</si>
  <si>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</si>
  <si>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</si>
  <si>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</si>
  <si>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</si>
  <si>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</si>
  <si>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</si>
  <si>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</si>
  <si>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</si>
  <si>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</si>
  <si>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</si>
  <si>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</si>
  <si>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</si>
  <si>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</si>
  <si>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</si>
  <si>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</si>
  <si>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</si>
  <si>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</si>
  <si>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</si>
  <si>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</si>
  <si>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</si>
  <si>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</si>
  <si>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</si>
  <si>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</si>
  <si>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</si>
  <si>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</si>
  <si>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</si>
  <si>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</si>
  <si>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</si>
  <si>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</si>
  <si>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</si>
  <si>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</si>
  <si>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</si>
  <si>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</si>
  <si>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</si>
  <si>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</si>
  <si>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</si>
  <si>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</si>
  <si>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</si>
  <si>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</si>
  <si>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</si>
  <si>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</si>
  <si>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</si>
  <si>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</si>
  <si>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</si>
  <si>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</si>
  <si>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</si>
  <si>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</si>
  <si>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</si>
  <si>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</si>
  <si>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</si>
  <si>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</si>
  <si>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</si>
  <si>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</si>
  <si>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</si>
  <si>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</si>
  <si>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</si>
  <si>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</si>
  <si>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</si>
  <si>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</si>
  <si>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</si>
  <si>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</si>
  <si>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</si>
  <si>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</si>
  <si>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</si>
  <si>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</si>
  <si>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Период действия</t>
  </si>
  <si>
    <t>без дифференциации</t>
  </si>
  <si>
    <t>вода</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</si>
  <si>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</si>
  <si>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</si>
  <si>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</si>
  <si>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</si>
  <si>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</si>
  <si>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</si>
  <si>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</si>
  <si>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</si>
  <si>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</si>
  <si>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</si>
  <si>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</si>
  <si>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</si>
  <si>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</si>
  <si>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</si>
  <si>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</si>
  <si>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</si>
  <si>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</si>
  <si>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</si>
  <si>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</si>
  <si>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</si>
  <si>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</si>
  <si>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</si>
  <si>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</si>
  <si>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</si>
  <si>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</si>
  <si>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</si>
  <si>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</si>
  <si>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</si>
  <si>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</si>
  <si>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</si>
  <si>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</si>
  <si>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</si>
  <si>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</si>
  <si>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</si>
  <si>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</si>
  <si>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</si>
  <si>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</si>
  <si>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</si>
  <si>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</si>
  <si>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</si>
  <si>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</si>
  <si>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</si>
  <si>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</si>
  <si>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</si>
  <si>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</si>
  <si>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</si>
  <si>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</si>
  <si>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</si>
  <si>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</si>
  <si>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</si>
  <si>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</si>
  <si>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</si>
  <si>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</si>
  <si>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</si>
  <si>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</si>
  <si>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</si>
  <si>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</si>
  <si>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</si>
  <si>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</si>
  <si>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</si>
  <si>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</si>
  <si>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</si>
  <si>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</si>
  <si>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</si>
  <si>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</si>
  <si>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</si>
  <si>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</si>
  <si>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</si>
  <si>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</si>
  <si>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</si>
  <si>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</si>
  <si>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</si>
  <si>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</si>
  <si>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</si>
  <si>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</si>
  <si>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</si>
  <si>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</si>
  <si>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</si>
  <si>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</si>
  <si>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</si>
  <si>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</si>
  <si>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</si>
  <si>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</si>
  <si>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</si>
  <si>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</si>
  <si>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</si>
  <si>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</si>
  <si>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</si>
  <si>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</si>
  <si>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</si>
  <si>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</si>
  <si>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</si>
  <si>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</si>
  <si>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</si>
  <si>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</si>
  <si>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</si>
  <si>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</si>
  <si>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</si>
  <si>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</si>
  <si>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</si>
  <si>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</si>
  <si>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</si>
  <si>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</si>
  <si>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</si>
  <si>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</si>
  <si>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</si>
  <si>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</si>
  <si>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</si>
  <si>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</si>
  <si>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</si>
  <si>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</si>
  <si>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</si>
  <si>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</si>
  <si>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</si>
  <si>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</si>
  <si>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</si>
  <si>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</si>
  <si>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</si>
  <si>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</si>
  <si>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</si>
  <si>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</si>
  <si>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</si>
  <si>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</si>
  <si>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</si>
  <si>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</si>
  <si>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</si>
  <si>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</si>
  <si>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</si>
  <si>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</si>
  <si>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</si>
  <si>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</si>
  <si>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</si>
  <si>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</si>
  <si>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</si>
  <si>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</si>
  <si>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</si>
  <si>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</si>
  <si>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</si>
  <si>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</si>
  <si>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</si>
  <si>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</si>
  <si>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</si>
  <si>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</si>
  <si>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</si>
  <si>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</si>
  <si>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</si>
  <si>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</si>
  <si>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</si>
  <si>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</si>
  <si>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</si>
  <si>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</si>
  <si>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</si>
  <si>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</si>
  <si>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</si>
  <si>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</si>
  <si>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</si>
  <si>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</si>
  <si>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</si>
  <si>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</si>
  <si>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</si>
  <si>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</si>
  <si>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</si>
  <si>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</si>
  <si>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</si>
  <si>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</si>
  <si>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</si>
  <si>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</si>
  <si>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</si>
  <si>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</si>
  <si>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</si>
  <si>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</si>
  <si>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</si>
  <si>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</si>
  <si>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</si>
  <si>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</si>
  <si>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</si>
  <si>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</si>
  <si>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</si>
  <si>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</si>
  <si>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</si>
  <si>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</si>
  <si>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</si>
  <si>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</si>
  <si>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</si>
  <si>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</si>
  <si>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</si>
  <si>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</si>
  <si>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</si>
  <si>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</si>
  <si>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</si>
  <si>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</si>
  <si>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</si>
  <si>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</si>
  <si>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</si>
  <si>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</si>
  <si>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</si>
  <si>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</si>
  <si>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</si>
  <si>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</si>
  <si>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</si>
  <si>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</si>
  <si>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</si>
  <si>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</si>
  <si>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</si>
  <si>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</si>
  <si>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</si>
  <si>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</si>
  <si>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</si>
  <si>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</si>
  <si>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</si>
  <si>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</si>
  <si>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</si>
  <si>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</si>
  <si>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</si>
  <si>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</si>
  <si>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</si>
  <si>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</si>
  <si>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</si>
  <si>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</si>
  <si>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</si>
  <si>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</si>
  <si>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</si>
  <si>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</si>
  <si>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</si>
  <si>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</si>
  <si>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</si>
  <si>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</si>
  <si>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</si>
  <si>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</si>
  <si>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</si>
  <si>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</si>
  <si>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</si>
  <si>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</si>
  <si>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</si>
  <si>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</si>
  <si>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</si>
  <si>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</si>
  <si>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</si>
  <si>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</si>
  <si>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</si>
  <si>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</si>
  <si>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</si>
  <si>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</si>
  <si>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</si>
  <si>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</si>
  <si>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</si>
  <si>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</si>
  <si>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</si>
  <si>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</si>
  <si>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</si>
  <si>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</si>
  <si>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</si>
  <si>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</si>
  <si>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</si>
  <si>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</si>
  <si>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</si>
  <si>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</si>
  <si>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</si>
  <si>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</si>
  <si>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</si>
  <si>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</si>
  <si>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</si>
  <si>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</si>
  <si>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</si>
  <si>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</si>
  <si>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</si>
  <si>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</si>
  <si>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</si>
  <si>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</si>
  <si>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</si>
  <si>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</si>
  <si>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</si>
  <si>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</si>
  <si>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</si>
  <si>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</si>
  <si>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</si>
  <si>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</si>
  <si>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</si>
  <si>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</si>
  <si>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</si>
  <si>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</si>
  <si>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</si>
  <si>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</si>
  <si>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</si>
  <si>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</si>
  <si>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</si>
  <si>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</si>
  <si>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</si>
  <si>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</si>
  <si>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</si>
  <si>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</si>
  <si>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</si>
  <si>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</si>
  <si>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</si>
  <si>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</si>
  <si>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</si>
  <si>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</si>
  <si>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</si>
  <si>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</si>
  <si>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</si>
  <si>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</si>
  <si>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</si>
  <si>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</si>
  <si>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</si>
  <si>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</si>
  <si>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</si>
  <si>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</si>
  <si>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</si>
  <si>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</si>
  <si>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</si>
  <si>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</si>
  <si>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</si>
  <si>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</si>
  <si>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</si>
  <si>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</si>
  <si>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</si>
  <si>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</si>
  <si>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</si>
  <si>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</si>
  <si>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</si>
  <si>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</si>
  <si>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</si>
  <si>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</si>
  <si>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</si>
  <si>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</si>
  <si>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</si>
  <si>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</si>
  <si>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</si>
  <si>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</si>
  <si>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</si>
  <si>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</si>
  <si>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</si>
  <si>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</si>
  <si>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</si>
  <si>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</si>
  <si>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</si>
  <si>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</si>
  <si>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</si>
  <si>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</si>
  <si>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</si>
  <si>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</si>
  <si>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</si>
  <si>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</si>
  <si>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</si>
  <si>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</si>
  <si>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</si>
  <si>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</si>
  <si>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</si>
  <si>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</si>
  <si>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</si>
  <si>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</si>
  <si>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</si>
  <si>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</si>
  <si>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</si>
  <si>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</si>
  <si>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</si>
  <si>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</si>
  <si>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</si>
  <si>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</si>
  <si>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</si>
  <si>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</si>
  <si>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</si>
  <si>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</si>
  <si>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</si>
  <si>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</si>
  <si>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</si>
  <si>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</si>
  <si>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</si>
  <si>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</si>
  <si>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</si>
  <si>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</si>
  <si>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</si>
  <si>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</si>
  <si>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</si>
  <si>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</si>
  <si>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</si>
  <si>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</si>
  <si>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</si>
  <si>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</si>
  <si>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</si>
  <si>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</si>
  <si>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</si>
  <si>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</si>
  <si>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</si>
  <si>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</si>
  <si>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</si>
  <si>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</si>
  <si>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</si>
  <si>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</si>
  <si>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</si>
  <si>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</si>
  <si>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</si>
  <si>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</si>
  <si>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</si>
  <si>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</si>
  <si>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</si>
  <si>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</si>
  <si>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</si>
  <si>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</si>
  <si>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</si>
  <si>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</si>
  <si>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</si>
  <si>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</si>
  <si>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</si>
  <si>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</si>
  <si>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</si>
  <si>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</si>
  <si>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</si>
  <si>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</si>
  <si>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</si>
  <si>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</si>
  <si>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</si>
  <si>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</si>
  <si>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</si>
  <si>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</si>
  <si>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</si>
  <si>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</si>
  <si>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</si>
  <si>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</si>
  <si>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</si>
  <si>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</si>
  <si>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</si>
  <si>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</si>
  <si>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</si>
  <si>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</si>
  <si>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</si>
  <si>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</si>
  <si>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</si>
  <si>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</si>
  <si>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</si>
  <si>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</si>
  <si>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</si>
  <si>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</si>
  <si>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</si>
  <si>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</si>
  <si>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</si>
  <si>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</si>
  <si>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</si>
  <si>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</si>
  <si>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</si>
  <si>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</si>
  <si>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</si>
  <si>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</si>
  <si>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</si>
  <si>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</si>
  <si>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</si>
  <si>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</si>
  <si>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</si>
  <si>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</si>
  <si>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</si>
  <si>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</si>
  <si>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</si>
  <si>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</si>
  <si>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</si>
  <si>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</si>
  <si>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</si>
  <si>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</si>
  <si>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</si>
  <si>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</si>
  <si>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</si>
  <si>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</si>
  <si>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</si>
  <si>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</si>
  <si>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</si>
  <si>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</si>
  <si>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</si>
  <si>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</si>
  <si>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</si>
  <si>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</si>
  <si>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</si>
  <si>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</si>
  <si>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</si>
  <si>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</si>
  <si>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</si>
  <si>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</si>
  <si>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</si>
  <si>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</si>
  <si>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</si>
  <si>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</si>
  <si>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</si>
  <si>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</si>
  <si>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</si>
  <si>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</si>
  <si>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</si>
  <si>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</si>
  <si>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</si>
  <si>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</si>
  <si>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</si>
  <si>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</si>
  <si>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</si>
  <si>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</si>
  <si>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</si>
  <si>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</si>
  <si>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</si>
  <si>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</si>
  <si>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</si>
  <si>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</si>
  <si>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</si>
  <si>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</si>
  <si>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</si>
  <si>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</si>
  <si>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</si>
  <si>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</si>
  <si>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</si>
  <si>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</si>
  <si>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</si>
  <si>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</si>
  <si>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</si>
  <si>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</si>
  <si>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</si>
  <si>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</si>
  <si>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</si>
  <si>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</si>
  <si>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</si>
  <si>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</si>
  <si>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</si>
  <si>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</si>
  <si>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</si>
  <si>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</si>
  <si>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</si>
  <si>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</si>
  <si>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</si>
  <si>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</si>
  <si>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</si>
  <si>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</si>
  <si>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</si>
  <si>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</si>
  <si>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</si>
  <si>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</si>
  <si>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</si>
  <si>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</si>
  <si>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</si>
  <si>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</si>
  <si>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</si>
  <si>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</si>
  <si>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</si>
  <si>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</si>
  <si>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</si>
  <si>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</si>
  <si>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</si>
  <si>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</si>
  <si>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</si>
  <si>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</si>
  <si>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</si>
  <si>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</si>
  <si>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</si>
  <si>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</si>
  <si>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</si>
  <si>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</si>
  <si>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</si>
  <si>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</si>
  <si>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</si>
  <si>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</si>
  <si>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</si>
  <si>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</si>
  <si>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</si>
  <si>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</si>
  <si>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</si>
  <si>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</si>
  <si>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</si>
  <si>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</si>
  <si>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</si>
  <si>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</si>
  <si>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</si>
  <si>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vertAlign val="superscript"/>
        <sz val="9"/>
        <rFont val="Tahoma"/>
        <family val="2"/>
        <charset val="204"/>
      </rPr>
      <t>1</t>
    </r>
    <r>
      <rPr>
        <sz val="9"/>
        <rFont val="Tahoma"/>
        <family val="2"/>
        <charset val="204"/>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</si>
  <si>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</si>
  <si>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</si>
  <si>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</si>
  <si>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</si>
  <si>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</si>
  <si>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</si>
  <si>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</si>
  <si>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</si>
  <si>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</si>
  <si>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</si>
  <si>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</si>
  <si>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</si>
  <si>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</si>
  <si>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</si>
  <si>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</si>
  <si>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</si>
  <si>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</si>
  <si>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</si>
  <si>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</si>
  <si>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</si>
  <si>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</si>
  <si>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</si>
  <si>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</si>
  <si>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</si>
  <si>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</si>
  <si>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</si>
  <si>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</si>
  <si>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</si>
  <si>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</si>
  <si>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</si>
  <si>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</si>
  <si>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</si>
  <si>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</si>
  <si>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</si>
  <si>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</si>
  <si>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</si>
  <si>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</si>
  <si>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</si>
  <si>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</si>
  <si>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</si>
  <si>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</si>
  <si>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</si>
  <si>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</si>
  <si>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</si>
  <si>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</si>
  <si>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</si>
  <si>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</si>
  <si>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</si>
  <si>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</si>
  <si>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</si>
  <si>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</si>
  <si>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</si>
  <si>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</si>
  <si>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</si>
  <si>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</si>
  <si>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</si>
  <si>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</si>
  <si>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</si>
  <si>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</si>
  <si>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</si>
  <si>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</si>
  <si>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</si>
  <si>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</si>
  <si>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</si>
  <si>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</si>
  <si>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</si>
  <si>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</si>
  <si>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</si>
  <si>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</si>
  <si>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</si>
  <si>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</si>
  <si>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</si>
  <si>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</si>
  <si>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</si>
  <si>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</si>
  <si>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</si>
  <si>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</si>
  <si>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</si>
  <si>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</si>
  <si>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</si>
  <si>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</si>
  <si>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</si>
  <si>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</si>
  <si>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</si>
  <si>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</si>
  <si>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</si>
  <si>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</si>
  <si>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</si>
  <si>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</si>
  <si>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</si>
  <si>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</si>
  <si>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</si>
  <si>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</si>
  <si>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</si>
  <si>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</si>
  <si>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</si>
  <si>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</si>
  <si>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</si>
  <si>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</si>
  <si>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</si>
  <si>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</si>
  <si>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</si>
  <si>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</si>
  <si>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</si>
  <si>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</si>
  <si>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</si>
  <si>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</si>
  <si>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</si>
  <si>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</si>
  <si>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</si>
  <si>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</si>
  <si>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</si>
  <si>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</si>
  <si>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</si>
  <si>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</si>
  <si>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</si>
  <si>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</si>
  <si>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</si>
  <si>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</si>
  <si>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</si>
  <si>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</si>
  <si>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</si>
  <si>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</si>
  <si>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</si>
  <si>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</si>
  <si>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</si>
  <si>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</si>
  <si>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</si>
  <si>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</si>
  <si>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</si>
  <si>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</si>
  <si>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</si>
  <si>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</si>
  <si>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</si>
  <si>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</si>
  <si>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метод индексации установленных тарифов</t>
  </si>
  <si>
    <t>https://portal.eias.ru/Portal/DownloadPage.aspx?type=12&amp;guid=a36cbf26-60ae-4ba3-b86c-abf19d408097</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</si>
  <si>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</si>
  <si>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</si>
  <si>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</si>
  <si>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https://portal.eias.ru/Portal/DownloadPage.aspx?type=12&amp;guid=9cb39ba8-ebed-46f8-8971-97b8d946a3f7</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</si>
  <si>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</si>
  <si>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Официальный сайт единой информационной системы в сфере закупок</t>
  </si>
  <si>
    <t>http://zakupki.gov.ru</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</si>
  <si>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</si>
  <si>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</si>
  <si>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</si>
  <si>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</si>
  <si>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</si>
  <si>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</si>
  <si>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</si>
  <si>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</si>
  <si>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</si>
  <si>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</si>
  <si>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</si>
  <si>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</si>
  <si>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</si>
  <si>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</si>
  <si>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</si>
  <si>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</si>
  <si>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</si>
  <si>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</si>
  <si>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</si>
  <si>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</si>
  <si>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</si>
  <si>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</si>
  <si>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</si>
  <si>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</si>
  <si>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</si>
  <si>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</si>
  <si>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</si>
  <si>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</si>
  <si>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</si>
  <si>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</si>
  <si>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</si>
  <si>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</si>
  <si>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</si>
  <si>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</si>
  <si>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</si>
  <si>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</si>
  <si>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</si>
  <si>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</si>
  <si>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</si>
  <si>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</si>
  <si>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</si>
  <si>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</si>
  <si>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</si>
  <si>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</si>
  <si>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</si>
  <si>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</si>
  <si>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</si>
  <si>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</si>
  <si>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</si>
  <si>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</si>
  <si>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</si>
  <si>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</si>
  <si>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</si>
  <si>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</si>
  <si>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</si>
  <si>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ОСН</t>
  </si>
  <si>
    <t>тыс.куб.м/сутки</t>
  </si>
  <si>
    <t>метод экономически обоснованных расходов (затрат)</t>
  </si>
  <si>
    <t>Передача+Сбыт</t>
  </si>
  <si>
    <t>первичное раскрытие информации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</si>
  <si>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</si>
  <si>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</si>
  <si>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</si>
  <si>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</si>
  <si>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</si>
  <si>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</si>
  <si>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</si>
  <si>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</si>
  <si>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</si>
  <si>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</si>
  <si>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</si>
  <si>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</si>
  <si>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</si>
  <si>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</si>
  <si>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</si>
  <si>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</si>
  <si>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</si>
  <si>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</si>
  <si>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</si>
  <si>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</si>
  <si>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</si>
  <si>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Передача</t>
  </si>
  <si>
    <t>пар</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</si>
  <si>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</si>
  <si>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</si>
  <si>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</si>
  <si>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</si>
  <si>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</si>
  <si>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</si>
  <si>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</si>
  <si>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</si>
  <si>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</si>
  <si>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</si>
  <si>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</si>
  <si>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</si>
  <si>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</si>
  <si>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</si>
  <si>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</si>
  <si>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</si>
  <si>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</si>
  <si>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</si>
  <si>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</si>
  <si>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</si>
  <si>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</si>
  <si>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</si>
  <si>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</si>
  <si>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</si>
  <si>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</si>
  <si>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</si>
  <si>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</si>
  <si>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</si>
  <si>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</si>
  <si>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</si>
  <si>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</si>
  <si>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</si>
  <si>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</si>
  <si>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</si>
  <si>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</si>
  <si>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</si>
  <si>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</si>
  <si>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</si>
  <si>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</si>
  <si>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</si>
  <si>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</si>
  <si>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</si>
  <si>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</si>
  <si>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</si>
  <si>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</si>
  <si>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</si>
  <si>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</si>
  <si>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</si>
  <si>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</si>
  <si>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</si>
  <si>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</si>
  <si>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</si>
  <si>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</si>
  <si>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</si>
  <si>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</si>
  <si>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</si>
  <si>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</si>
  <si>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</si>
  <si>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</si>
  <si>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</si>
  <si>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</si>
  <si>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</si>
  <si>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</si>
  <si>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</si>
  <si>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</si>
  <si>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</si>
  <si>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</si>
  <si>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</si>
  <si>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</si>
  <si>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</si>
  <si>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</si>
  <si>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</si>
  <si>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</si>
  <si>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</si>
  <si>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</si>
  <si>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</si>
  <si>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</si>
  <si>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</si>
  <si>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</si>
  <si>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</si>
  <si>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</si>
  <si>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</si>
  <si>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</si>
  <si>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</si>
  <si>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</si>
  <si>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</si>
  <si>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</si>
  <si>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</si>
  <si>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</si>
  <si>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</si>
  <si>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</si>
  <si>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</si>
  <si>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</si>
  <si>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</si>
  <si>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</si>
  <si>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</si>
  <si>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</si>
  <si>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</si>
  <si>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</si>
  <si>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</si>
  <si>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</si>
  <si>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</si>
  <si>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</si>
  <si>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</si>
  <si>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</si>
  <si>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</si>
  <si>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</si>
  <si>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</si>
  <si>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</si>
  <si>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</si>
  <si>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</si>
  <si>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</si>
  <si>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</si>
  <si>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</si>
  <si>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</si>
  <si>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</si>
  <si>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</si>
  <si>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</si>
  <si>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</si>
  <si>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</si>
  <si>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</si>
  <si>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</si>
  <si>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</si>
  <si>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</si>
  <si>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</si>
  <si>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</si>
  <si>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</si>
  <si>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</si>
  <si>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</si>
  <si>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</si>
  <si>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</si>
  <si>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</si>
  <si>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</si>
  <si>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</si>
  <si>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</si>
  <si>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</si>
  <si>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</si>
  <si>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</si>
  <si>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</si>
  <si>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</si>
  <si>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</si>
  <si>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</si>
  <si>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</si>
  <si>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</si>
  <si>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</si>
  <si>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</si>
  <si>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</si>
  <si>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</si>
  <si>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</si>
  <si>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</si>
  <si>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</si>
  <si>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</si>
  <si>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</si>
  <si>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</si>
  <si>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</si>
  <si>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</si>
  <si>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</si>
  <si>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</si>
  <si>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</si>
  <si>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</si>
  <si>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</si>
  <si>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</si>
  <si>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</si>
  <si>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</si>
  <si>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</si>
  <si>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</si>
  <si>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</si>
  <si>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</si>
  <si>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</si>
  <si>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</si>
  <si>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</si>
  <si>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</si>
  <si>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</si>
  <si>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</si>
  <si>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</si>
  <si>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</si>
  <si>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</si>
  <si>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</si>
  <si>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</si>
  <si>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</si>
  <si>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</si>
  <si>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</si>
  <si>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</si>
  <si>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</si>
  <si>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</si>
  <si>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</si>
  <si>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</si>
  <si>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</si>
  <si>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</si>
  <si>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</si>
  <si>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</si>
  <si>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</si>
  <si>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</si>
  <si>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</si>
  <si>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</si>
  <si>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</si>
  <si>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</si>
  <si>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</si>
  <si>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</si>
  <si>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</si>
  <si>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</si>
  <si>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</si>
  <si>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</si>
  <si>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</si>
  <si>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</si>
  <si>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</si>
  <si>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</si>
  <si>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</si>
  <si>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</si>
  <si>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</si>
  <si>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</si>
  <si>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</si>
  <si>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</si>
  <si>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</si>
  <si>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</si>
  <si>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</si>
  <si>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</si>
  <si>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</si>
  <si>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</si>
  <si>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</si>
  <si>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</si>
  <si>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</si>
  <si>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</si>
  <si>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</si>
  <si>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</si>
  <si>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</si>
  <si>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</si>
  <si>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</si>
  <si>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</si>
  <si>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</si>
  <si>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</si>
  <si>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</si>
  <si>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</si>
  <si>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</si>
  <si>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</si>
  <si>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</si>
  <si>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</si>
  <si>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</si>
  <si>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</si>
  <si>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</si>
  <si>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</si>
  <si>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</si>
  <si>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</si>
  <si>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</si>
  <si>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</si>
  <si>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</si>
  <si>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</si>
  <si>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</si>
  <si>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</si>
  <si>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</si>
  <si>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</si>
  <si>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</si>
  <si>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</si>
  <si>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</si>
  <si>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</si>
  <si>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</si>
  <si>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</si>
  <si>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</si>
  <si>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</si>
  <si>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</si>
  <si>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</si>
  <si>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</si>
  <si>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</si>
  <si>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</si>
  <si>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</si>
  <si>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</si>
  <si>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</si>
  <si>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</si>
  <si>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</si>
  <si>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</si>
  <si>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</si>
  <si>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</si>
  <si>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</si>
  <si>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</si>
  <si>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</si>
  <si>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</si>
  <si>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</si>
  <si>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</si>
  <si>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</si>
  <si>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</si>
  <si>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</si>
  <si>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</si>
  <si>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</si>
  <si>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</si>
  <si>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</si>
  <si>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</si>
  <si>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</si>
  <si>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</si>
  <si>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</si>
  <si>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</si>
  <si>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</si>
  <si>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</si>
  <si>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</si>
  <si>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</si>
  <si>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</si>
  <si>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</si>
  <si>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</si>
  <si>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</si>
  <si>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</si>
  <si>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</si>
  <si>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</si>
  <si>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</si>
  <si>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</si>
  <si>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</si>
  <si>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</si>
  <si>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</si>
  <si>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</si>
  <si>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</si>
  <si>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</si>
  <si>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</si>
  <si>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</si>
  <si>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</si>
  <si>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</si>
  <si>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</si>
  <si>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</si>
  <si>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</si>
  <si>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</si>
  <si>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</si>
  <si>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</si>
  <si>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</si>
  <si>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</si>
  <si>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</si>
  <si>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</si>
  <si>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</si>
  <si>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</si>
  <si>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</si>
  <si>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</si>
  <si>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</si>
  <si>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</si>
  <si>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</si>
  <si>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</si>
  <si>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</si>
  <si>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</si>
  <si>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</si>
  <si>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</si>
  <si>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</si>
  <si>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</si>
  <si>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</si>
  <si>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</si>
  <si>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</si>
  <si>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</si>
  <si>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</si>
  <si>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</si>
  <si>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</si>
  <si>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</si>
  <si>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</si>
  <si>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</si>
  <si>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</si>
  <si>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</si>
  <si>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</si>
  <si>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</si>
  <si>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</si>
  <si>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</si>
  <si>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</si>
  <si>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</si>
  <si>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</si>
  <si>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</si>
  <si>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</si>
  <si>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</si>
  <si>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</si>
  <si>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</si>
  <si>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</si>
  <si>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</si>
  <si>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</si>
  <si>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</si>
  <si>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</si>
  <si>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</si>
  <si>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</si>
  <si>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</si>
  <si>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</si>
  <si>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</si>
  <si>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</si>
  <si>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</si>
  <si>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</si>
  <si>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</si>
  <si>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</si>
  <si>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</si>
  <si>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</si>
  <si>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</si>
  <si>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</si>
  <si>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</si>
  <si>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</si>
  <si>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</si>
  <si>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</si>
  <si>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</si>
  <si>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</si>
  <si>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</si>
  <si>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</si>
  <si>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</si>
  <si>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</si>
  <si>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</si>
  <si>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</si>
  <si>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</si>
  <si>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</si>
  <si>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</si>
  <si>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</si>
  <si>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R</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</si>
  <si>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</si>
  <si>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</si>
  <si>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</si>
  <si>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</si>
  <si>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</si>
  <si>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</si>
  <si>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</si>
  <si>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</si>
  <si>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</si>
  <si>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</si>
  <si>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</si>
  <si>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</si>
  <si>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</si>
  <si>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</si>
  <si>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</si>
  <si>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</si>
  <si>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</si>
  <si>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</si>
  <si>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</si>
  <si>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</si>
  <si>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</si>
  <si>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</si>
  <si>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</si>
  <si>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Псковская область</t>
  </si>
  <si>
    <t>INVEST</t>
  </si>
  <si>
    <t>48</t>
  </si>
  <si>
    <t>Республика Адыгея</t>
  </si>
  <si>
    <t>REQUEST</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</si>
  <si>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</si>
  <si>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</si>
  <si>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</si>
  <si>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</si>
  <si>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</si>
  <si>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</si>
  <si>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</si>
  <si>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</si>
  <si>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</si>
  <si>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</si>
  <si>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</si>
  <si>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</si>
  <si>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</si>
  <si>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</si>
  <si>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</si>
  <si>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</si>
  <si>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</si>
  <si>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5111</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</si>
  <si>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</si>
  <si>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</si>
  <si>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</si>
  <si>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</si>
  <si>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</si>
  <si>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</si>
  <si>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</si>
  <si>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</si>
  <si>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</si>
  <si>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</si>
  <si>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</si>
  <si>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</si>
  <si>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</si>
  <si>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</si>
  <si>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</si>
  <si>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</si>
  <si>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</si>
  <si>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</si>
  <si>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</si>
  <si>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</si>
  <si>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</si>
  <si>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</si>
  <si>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</si>
  <si>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</si>
  <si>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</si>
  <si>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</si>
  <si>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</si>
  <si>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</si>
  <si>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</si>
  <si>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</si>
  <si>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</si>
  <si>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</si>
  <si>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</si>
  <si>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</si>
  <si>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</si>
  <si>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</si>
  <si>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</si>
  <si>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</si>
  <si>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</si>
  <si>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</si>
  <si>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</si>
  <si>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</si>
  <si>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</si>
  <si>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</si>
  <si>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</si>
  <si>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</si>
  <si>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</si>
  <si>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</si>
  <si>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</si>
  <si>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</si>
  <si>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</si>
  <si>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</si>
  <si>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</si>
  <si>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</si>
  <si>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</si>
  <si>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</si>
  <si>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</si>
  <si>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</si>
  <si>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</si>
  <si>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</si>
  <si>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</si>
  <si>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</si>
  <si>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</si>
  <si>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</si>
  <si>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</si>
  <si>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</si>
  <si>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</si>
  <si>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</si>
  <si>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</si>
  <si>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</si>
  <si>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</si>
  <si>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</si>
  <si>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</si>
  <si>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</si>
  <si>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</si>
  <si>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</si>
  <si>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</si>
  <si>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</si>
  <si>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</si>
  <si>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</si>
  <si>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</si>
  <si>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</si>
  <si>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</si>
  <si>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</si>
  <si>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</si>
  <si>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</si>
  <si>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</si>
  <si>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</si>
  <si>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</si>
  <si>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</si>
  <si>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</si>
  <si>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</si>
  <si>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</si>
  <si>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</si>
  <si>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</si>
  <si>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</si>
  <si>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</si>
  <si>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</si>
  <si>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</si>
  <si>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</si>
  <si>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</si>
  <si>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</si>
  <si>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</si>
  <si>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</si>
  <si>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</si>
  <si>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</si>
  <si>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</si>
  <si>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</si>
  <si>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</si>
  <si>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</si>
  <si>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</si>
  <si>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</si>
  <si>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</si>
  <si>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</si>
  <si>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</si>
  <si>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</si>
  <si>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</si>
  <si>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</si>
  <si>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</si>
  <si>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</si>
  <si>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</si>
  <si>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</si>
  <si>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</si>
  <si>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</si>
  <si>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</si>
  <si>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</si>
  <si>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</si>
  <si>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</si>
  <si>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</si>
  <si>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</si>
  <si>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</si>
  <si>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</si>
  <si>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</si>
  <si>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</si>
  <si>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</si>
  <si>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</si>
  <si>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</si>
  <si>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</si>
  <si>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</si>
  <si>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</si>
  <si>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</si>
  <si>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</si>
  <si>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</si>
  <si>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</si>
  <si>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</si>
  <si>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</si>
  <si>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</si>
  <si>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</si>
  <si>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</si>
  <si>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</si>
  <si>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</si>
  <si>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</si>
  <si>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</si>
  <si>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</si>
  <si>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</si>
  <si>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</si>
  <si>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</si>
  <si>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</si>
  <si>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</si>
  <si>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</si>
  <si>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</si>
  <si>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</si>
  <si>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</si>
  <si>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</si>
  <si>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</si>
  <si>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</si>
  <si>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</si>
  <si>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</si>
  <si>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</si>
  <si>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</si>
  <si>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</si>
  <si>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</si>
  <si>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</si>
  <si>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</si>
  <si>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</si>
  <si>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</si>
  <si>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</si>
  <si>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</si>
  <si>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</si>
  <si>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</si>
  <si>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</si>
  <si>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</si>
  <si>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</si>
  <si>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</si>
  <si>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</si>
  <si>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</si>
  <si>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</si>
  <si>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</si>
  <si>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</si>
  <si>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</si>
  <si>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</si>
  <si>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</si>
  <si>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</si>
  <si>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</si>
  <si>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</si>
  <si>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</si>
  <si>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</si>
  <si>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</si>
  <si>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</si>
  <si>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</si>
  <si>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</si>
  <si>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</si>
  <si>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vertAlign val="superscript"/>
        <sz val="9"/>
        <rFont val="Tahoma"/>
        <family val="2"/>
        <charset val="204"/>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</si>
  <si>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</si>
  <si>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</si>
  <si>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</si>
  <si>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</si>
  <si>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</si>
  <si>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vertAlign val="superscript"/>
        <sz val="9"/>
        <rFont val="Tahoma"/>
        <family val="2"/>
        <charset val="204"/>
      </rPr>
      <t>2</t>
    </r>
    <r>
      <rPr>
        <sz val="9"/>
        <rFont val="Tahoma"/>
        <family val="2"/>
        <charset val="204"/>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</si>
  <si>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</si>
  <si>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</si>
  <si>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 xml:space="preserve">Корректировка в соответствии с законодательством </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</si>
  <si>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</si>
  <si>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</si>
  <si>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</si>
  <si>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</si>
  <si>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</si>
  <si>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</si>
  <si>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</si>
  <si>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</si>
  <si>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</si>
  <si>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</si>
  <si>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</si>
  <si>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</si>
  <si>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</si>
  <si>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</si>
  <si>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</si>
  <si>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</si>
  <si>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</si>
  <si>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</si>
  <si>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</si>
  <si>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</si>
  <si>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</si>
  <si>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</si>
  <si>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</si>
  <si>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</si>
  <si>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</si>
  <si>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</si>
  <si>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</si>
  <si>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</si>
  <si>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</si>
  <si>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</si>
  <si>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</si>
  <si>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</si>
  <si>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</si>
  <si>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</si>
  <si>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</si>
  <si>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</si>
  <si>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</si>
  <si>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</si>
  <si>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</si>
  <si>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</si>
  <si>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</si>
  <si>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</si>
  <si>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</si>
  <si>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</si>
  <si>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</si>
  <si>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</si>
  <si>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</si>
  <si>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</si>
  <si>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</si>
  <si>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</si>
  <si>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</si>
  <si>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</si>
  <si>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</si>
  <si>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</si>
  <si>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</si>
  <si>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</si>
  <si>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</si>
  <si>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</si>
  <si>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</si>
  <si>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</si>
  <si>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</si>
  <si>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</si>
  <si>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</si>
  <si>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</si>
  <si>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</si>
  <si>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</si>
  <si>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</si>
  <si>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</si>
  <si>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</si>
  <si>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</si>
  <si>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</si>
  <si>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</si>
  <si>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</si>
  <si>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</si>
  <si>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</si>
  <si>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</si>
  <si>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</si>
  <si>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</si>
  <si>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</si>
  <si>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</si>
  <si>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</si>
  <si>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</si>
  <si>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</si>
  <si>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</si>
  <si>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</si>
  <si>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</si>
  <si>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</si>
  <si>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</si>
  <si>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</si>
  <si>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</si>
  <si>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</si>
  <si>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</si>
  <si>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</si>
  <si>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</si>
  <si>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</si>
  <si>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</si>
  <si>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</si>
  <si>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</si>
  <si>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</si>
  <si>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</si>
  <si>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</si>
  <si>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</si>
  <si>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</si>
  <si>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</si>
  <si>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</si>
  <si>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</si>
  <si>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</si>
  <si>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</si>
  <si>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</si>
  <si>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</si>
  <si>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</si>
  <si>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</si>
  <si>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</si>
  <si>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</si>
  <si>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</si>
  <si>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</si>
  <si>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</si>
  <si>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</si>
  <si>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</si>
  <si>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</si>
  <si>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</si>
  <si>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</si>
  <si>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</si>
  <si>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</si>
  <si>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</si>
  <si>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</si>
  <si>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</si>
  <si>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</si>
  <si>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</si>
  <si>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</si>
  <si>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</si>
  <si>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</si>
  <si>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</si>
  <si>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</si>
  <si>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</si>
  <si>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</si>
  <si>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</si>
  <si>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</si>
  <si>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</si>
  <si>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</si>
  <si>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</si>
  <si>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</si>
  <si>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</si>
  <si>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</si>
  <si>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</si>
  <si>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</si>
  <si>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</si>
  <si>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</si>
  <si>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</si>
  <si>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</si>
  <si>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</si>
  <si>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</si>
  <si>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</si>
  <si>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</si>
  <si>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</si>
  <si>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</si>
  <si>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</si>
  <si>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</si>
  <si>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</si>
  <si>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</si>
  <si>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</si>
  <si>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</si>
  <si>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</si>
  <si>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</si>
  <si>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</si>
  <si>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</si>
  <si>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</si>
  <si>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</si>
  <si>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</si>
  <si>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</si>
  <si>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</si>
  <si>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</si>
  <si>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</si>
  <si>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</si>
  <si>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</si>
  <si>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</si>
  <si>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</si>
  <si>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</si>
  <si>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</si>
  <si>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</si>
  <si>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</si>
  <si>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</si>
  <si>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</si>
  <si>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</si>
  <si>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</si>
  <si>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</si>
  <si>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</si>
  <si>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</si>
  <si>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</si>
  <si>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</si>
  <si>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</si>
  <si>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</si>
  <si>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</si>
  <si>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</si>
  <si>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</si>
  <si>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</si>
  <si>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</si>
  <si>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</si>
  <si>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</si>
  <si>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</si>
  <si>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</si>
  <si>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</si>
  <si>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</si>
  <si>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</si>
  <si>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</si>
  <si>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</si>
  <si>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</si>
  <si>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</si>
  <si>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</si>
  <si>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</si>
  <si>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</si>
  <si>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</si>
  <si>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</si>
  <si>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</si>
  <si>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</si>
  <si>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</si>
  <si>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</si>
  <si>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</si>
  <si>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</si>
  <si>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</si>
  <si>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</si>
  <si>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</si>
  <si>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</si>
  <si>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</si>
  <si>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</si>
  <si>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</si>
  <si>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</si>
  <si>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</si>
  <si>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</si>
  <si>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</si>
  <si>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</si>
  <si>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</si>
  <si>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</si>
  <si>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</si>
  <si>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</si>
  <si>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</si>
  <si>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</si>
  <si>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</si>
  <si>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</si>
  <si>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</si>
  <si>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</si>
  <si>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</si>
  <si>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</si>
  <si>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</si>
  <si>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</si>
  <si>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</si>
  <si>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</si>
  <si>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</si>
  <si>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</si>
  <si>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</si>
  <si>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</si>
  <si>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</si>
  <si>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</si>
  <si>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</si>
  <si>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</si>
  <si>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</si>
  <si>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</si>
  <si>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</si>
  <si>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</si>
  <si>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</si>
  <si>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</si>
  <si>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</si>
  <si>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</si>
  <si>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</si>
  <si>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</si>
  <si>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</si>
  <si>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</si>
  <si>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</si>
  <si>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</si>
  <si>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</si>
  <si>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</si>
  <si>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</si>
  <si>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</si>
  <si>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</si>
  <si>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</si>
  <si>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</si>
  <si>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</si>
  <si>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</si>
  <si>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</si>
  <si>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</si>
  <si>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</si>
  <si>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</si>
  <si>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</si>
  <si>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</si>
  <si>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</si>
  <si>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</si>
  <si>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</si>
  <si>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</si>
  <si>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</si>
  <si>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</si>
  <si>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</si>
  <si>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</si>
  <si>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</si>
  <si>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</si>
  <si>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</si>
  <si>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</si>
  <si>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</si>
  <si>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</si>
  <si>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</si>
  <si>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</si>
  <si>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</si>
  <si>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</si>
  <si>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</si>
  <si>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</si>
  <si>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</si>
  <si>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</si>
  <si>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</si>
  <si>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</si>
  <si>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</si>
  <si>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</si>
  <si>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</si>
  <si>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</si>
  <si>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</si>
  <si>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</si>
  <si>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</si>
  <si>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</si>
  <si>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</si>
  <si>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</si>
  <si>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</si>
  <si>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</si>
  <si>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</si>
  <si>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</si>
  <si>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</si>
  <si>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</si>
  <si>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</si>
  <si>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</si>
  <si>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</si>
  <si>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</si>
  <si>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</si>
  <si>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</si>
  <si>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</si>
  <si>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</si>
  <si>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</si>
  <si>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</si>
  <si>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</si>
  <si>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</si>
  <si>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</si>
  <si>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</si>
  <si>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</si>
  <si>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</si>
  <si>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</si>
  <si>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</si>
  <si>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</si>
  <si>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</si>
  <si>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</si>
  <si>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</si>
  <si>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</si>
  <si>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</si>
  <si>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</si>
  <si>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</si>
  <si>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2667</t>
  </si>
  <si>
    <t>30941592</t>
  </si>
  <si>
    <t>АО "356УНР"</t>
  </si>
  <si>
    <t>4101129872</t>
  </si>
  <si>
    <t>770401001</t>
  </si>
  <si>
    <t>06-05-2009 00:00:00</t>
  </si>
  <si>
    <t>28423994</t>
  </si>
  <si>
    <t>АО "Камчатэнергосервис"</t>
  </si>
  <si>
    <t>4101145793</t>
  </si>
  <si>
    <t>410201001</t>
  </si>
  <si>
    <t>16-08-2013 00:00:00</t>
  </si>
  <si>
    <t>26467024</t>
  </si>
  <si>
    <t>АО "Корякэнерго"</t>
  </si>
  <si>
    <t>8202010020</t>
  </si>
  <si>
    <t>16-08-2005 00:00:00</t>
  </si>
  <si>
    <t>27565781</t>
  </si>
  <si>
    <t>АО "Оборонэнерго" филиал "Камчатский"</t>
  </si>
  <si>
    <t>7704726225</t>
  </si>
  <si>
    <t>410143001</t>
  </si>
  <si>
    <t>30924849</t>
  </si>
  <si>
    <t>АО "Оссора"</t>
  </si>
  <si>
    <t>8203011524</t>
  </si>
  <si>
    <t>820301001</t>
  </si>
  <si>
    <t>17-05-2017 00:00:00</t>
  </si>
  <si>
    <t>26789049</t>
  </si>
  <si>
    <t>АО "Северо-Восточный ремонтный центр"</t>
  </si>
  <si>
    <t>4102009338</t>
  </si>
  <si>
    <t>410250001</t>
  </si>
  <si>
    <t>27-02-2008 00:00:00</t>
  </si>
  <si>
    <t>26459804</t>
  </si>
  <si>
    <t>АО "Судоремсервис"</t>
  </si>
  <si>
    <t>4102007860</t>
  </si>
  <si>
    <t>13-02-2003 00:00:00</t>
  </si>
  <si>
    <t>30373038</t>
  </si>
  <si>
    <t>АО "Тепло земли"</t>
  </si>
  <si>
    <t>4105045327</t>
  </si>
  <si>
    <t>410501001</t>
  </si>
  <si>
    <t>24-08-2015 00:00:00</t>
  </si>
  <si>
    <t>26607853</t>
  </si>
  <si>
    <t>АО "ЮЭСК"</t>
  </si>
  <si>
    <t>4101101796</t>
  </si>
  <si>
    <t>30925177</t>
  </si>
  <si>
    <t>ЖКС № 8 филиала ФГБУ "ЦЖКУ" МО РФ по ВМФ</t>
  </si>
  <si>
    <t>7729314745</t>
  </si>
  <si>
    <t>20-03-2017 00:00:00</t>
  </si>
  <si>
    <t>26319169</t>
  </si>
  <si>
    <t>ЗАО "Акрос"</t>
  </si>
  <si>
    <t>4101013772</t>
  </si>
  <si>
    <t>410150001</t>
  </si>
  <si>
    <t>25-09-2002 00:00:00</t>
  </si>
  <si>
    <t>26319175</t>
  </si>
  <si>
    <t>ЗАО "ПСРЗ"</t>
  </si>
  <si>
    <t>4101017329</t>
  </si>
  <si>
    <t>06-11-1992 00:00:00</t>
  </si>
  <si>
    <t>28876509</t>
  </si>
  <si>
    <t>МАУ "Строительства, благоустройства и жилищно-коммунального хозяйства"</t>
  </si>
  <si>
    <t>4105044161</t>
  </si>
  <si>
    <t>28-10-2014 00:00:00</t>
  </si>
  <si>
    <t>26459620</t>
  </si>
  <si>
    <t>МУП "Горсети" пгт. Палана</t>
  </si>
  <si>
    <t>8202011024</t>
  </si>
  <si>
    <t>820201001</t>
  </si>
  <si>
    <t>31470236</t>
  </si>
  <si>
    <t>МУП "Запорожское"</t>
  </si>
  <si>
    <t>4108007150</t>
  </si>
  <si>
    <t>410801001</t>
  </si>
  <si>
    <t>26-02-2009 00:00:00</t>
  </si>
  <si>
    <t>28466265</t>
  </si>
  <si>
    <t>МУП "Многоотраслевое  предприятие ЖКХ КСП"</t>
  </si>
  <si>
    <t>4105042478</t>
  </si>
  <si>
    <t>28874751</t>
  </si>
  <si>
    <t>МУП "ТЭСК"</t>
  </si>
  <si>
    <t>4101004827</t>
  </si>
  <si>
    <t>19-12-2002 00:00:00</t>
  </si>
  <si>
    <t>30833658</t>
  </si>
  <si>
    <t>МУП "Тепловодхоз"</t>
  </si>
  <si>
    <t>4109003663</t>
  </si>
  <si>
    <t>410901001</t>
  </si>
  <si>
    <t>09-07-2008 00:00:00</t>
  </si>
  <si>
    <t>31033488</t>
  </si>
  <si>
    <t>МУП «Елизовская управляющая компания»</t>
  </si>
  <si>
    <t>4105045944</t>
  </si>
  <si>
    <t>26319171</t>
  </si>
  <si>
    <t>ООО "28-Электросеть"</t>
  </si>
  <si>
    <t>4105031155</t>
  </si>
  <si>
    <t>05-10-2006 00:00:00</t>
  </si>
  <si>
    <t>28500705</t>
  </si>
  <si>
    <t>ООО "41 Электрическая сеть"</t>
  </si>
  <si>
    <t>4105043288</t>
  </si>
  <si>
    <t>09-12-2013 00:00:00</t>
  </si>
  <si>
    <t>28500694</t>
  </si>
  <si>
    <t>ООО "Алеир"</t>
  </si>
  <si>
    <t>4101138563</t>
  </si>
  <si>
    <t>15-07-2010 00:00:00</t>
  </si>
  <si>
    <t>28447354</t>
  </si>
  <si>
    <t>ООО "Гермес"</t>
  </si>
  <si>
    <t>4109004152</t>
  </si>
  <si>
    <t>17-01-2003 00:00:00</t>
  </si>
  <si>
    <t>31423553</t>
  </si>
  <si>
    <t>ООО "ИКС Петропавловск-Камчатский"</t>
  </si>
  <si>
    <t>4105097580</t>
  </si>
  <si>
    <t>25-09-2019 00:00:00</t>
  </si>
  <si>
    <t>26319168</t>
  </si>
  <si>
    <t>ООО "Интарсия"</t>
  </si>
  <si>
    <t>4101018361</t>
  </si>
  <si>
    <t>30-06-1998 00:00:00</t>
  </si>
  <si>
    <t>26790667</t>
  </si>
  <si>
    <t>ООО "Интэко"</t>
  </si>
  <si>
    <t>4109005420</t>
  </si>
  <si>
    <t>14-03-2012 00:00:00</t>
  </si>
  <si>
    <t>27399488</t>
  </si>
  <si>
    <t>ООО "КВТ"</t>
  </si>
  <si>
    <t>4101140379</t>
  </si>
  <si>
    <t>28012056</t>
  </si>
  <si>
    <t>ООО "Ключиэнерго"</t>
  </si>
  <si>
    <t>4109005195</t>
  </si>
  <si>
    <t>26459660</t>
  </si>
  <si>
    <t>ООО "Колхоз Ударник"</t>
  </si>
  <si>
    <t>8203010961</t>
  </si>
  <si>
    <t>29-11-2002 00:00:00</t>
  </si>
  <si>
    <t>30371438</t>
  </si>
  <si>
    <t>ООО "КорякТеплоСнаб"</t>
  </si>
  <si>
    <t>4101169385</t>
  </si>
  <si>
    <t>24-04-2015 00:00:00</t>
  </si>
  <si>
    <t>27565705</t>
  </si>
  <si>
    <t>ООО "Морошка"</t>
  </si>
  <si>
    <t>8203002618</t>
  </si>
  <si>
    <t>30-12-2002 00:00:00</t>
  </si>
  <si>
    <t>27576624</t>
  </si>
  <si>
    <t>ООО "Норд Фиш"</t>
  </si>
  <si>
    <t>4109005188</t>
  </si>
  <si>
    <t>31655874</t>
  </si>
  <si>
    <t>ООО "Петропавловск-Камчатский морской торговый порт"</t>
  </si>
  <si>
    <t>4100045203</t>
  </si>
  <si>
    <t>410001001</t>
  </si>
  <si>
    <t>11-01-2023 00:00:00</t>
  </si>
  <si>
    <t>28145675</t>
  </si>
  <si>
    <t>ООО "РСО "Силуэт"</t>
  </si>
  <si>
    <t>4101154090</t>
  </si>
  <si>
    <t>07-12-2015 00:00:00</t>
  </si>
  <si>
    <t>26459562</t>
  </si>
  <si>
    <t>ООО "Санаторий Начикинский"</t>
  </si>
  <si>
    <t>4105029808</t>
  </si>
  <si>
    <t>26612140</t>
  </si>
  <si>
    <t>ООО "Стимул"</t>
  </si>
  <si>
    <t>4107002093</t>
  </si>
  <si>
    <t>410701001</t>
  </si>
  <si>
    <t>27576612</t>
  </si>
  <si>
    <t>ООО "Строй-Альянс"</t>
  </si>
  <si>
    <t>4109005318</t>
  </si>
  <si>
    <t>30430980</t>
  </si>
  <si>
    <t>ООО "Терминал "Сероглазка""</t>
  </si>
  <si>
    <t>4101171514</t>
  </si>
  <si>
    <t>14-09-2015 00:00:00</t>
  </si>
  <si>
    <t>28012044</t>
  </si>
  <si>
    <t>ООО "Термо"</t>
  </si>
  <si>
    <t>4109005237</t>
  </si>
  <si>
    <t>26459678</t>
  </si>
  <si>
    <t>ООО "ЭСИ"</t>
  </si>
  <si>
    <t>8203010915</t>
  </si>
  <si>
    <t>08-07-2011 00:00:00</t>
  </si>
  <si>
    <t>31046740</t>
  </si>
  <si>
    <t>ООО "Энергоресурс"</t>
  </si>
  <si>
    <t>4101181738</t>
  </si>
  <si>
    <t>17-10-2017 00:00:00</t>
  </si>
  <si>
    <t>28980149</t>
  </si>
  <si>
    <t>ООО «Управляющая организация Сокоч»</t>
  </si>
  <si>
    <t>4105037333</t>
  </si>
  <si>
    <t>26459608</t>
  </si>
  <si>
    <t>ПАО "Камчатскэнерго"</t>
  </si>
  <si>
    <t>4100000668</t>
  </si>
  <si>
    <t>09-04-1993 00:00:00</t>
  </si>
  <si>
    <t>26459596</t>
  </si>
  <si>
    <t>Пограничное управление ФСБ России по восточному арктическому району</t>
  </si>
  <si>
    <t>4101169459</t>
  </si>
  <si>
    <t>26616623</t>
  </si>
  <si>
    <t>РА "Колхоз Красный труженик"</t>
  </si>
  <si>
    <t>4108000596</t>
  </si>
  <si>
    <t>РЕГИОНАЛЬНАЯ СЛУЖБА ПО ТАРИФАМ И ЦЕНАМ КАМЧАТСКОГО КРАЯ</t>
  </si>
  <si>
    <t>4101121351</t>
  </si>
  <si>
    <t>28263055</t>
  </si>
  <si>
    <t>УФСБ России по Камчатскому краю</t>
  </si>
  <si>
    <t>4101092326</t>
  </si>
  <si>
    <t>10-07-2003 00:00:00</t>
  </si>
  <si>
    <t>31213907</t>
  </si>
  <si>
    <t>ФГКУ «Камчатский спасательный центр МЧС России»</t>
  </si>
  <si>
    <t>4105006293</t>
  </si>
  <si>
    <t>31375515</t>
  </si>
  <si>
    <t>АО "Заречное"</t>
  </si>
  <si>
    <t>4105097269</t>
  </si>
  <si>
    <t>01-01-2020 00:00:00</t>
  </si>
  <si>
    <t>31684291</t>
  </si>
  <si>
    <t>АО "Каминжиниринг"</t>
  </si>
  <si>
    <t>4100042072</t>
  </si>
  <si>
    <t>06-04-2022 00:00:00</t>
  </si>
  <si>
    <t>27580223</t>
  </si>
  <si>
    <t>АО "Озерновский рыбоконсервный завод №55"</t>
  </si>
  <si>
    <t>4108003484</t>
  </si>
  <si>
    <t>26459722</t>
  </si>
  <si>
    <t>КГУП "Камчатский водоканал"</t>
  </si>
  <si>
    <t>4101119472</t>
  </si>
  <si>
    <t>30-12-2016 00:00:00</t>
  </si>
  <si>
    <t>31204410</t>
  </si>
  <si>
    <t>МБУ ЖКХ "Надежда"</t>
  </si>
  <si>
    <t>4108008242</t>
  </si>
  <si>
    <t>04-07-2018 00:00:00</t>
  </si>
  <si>
    <t>31501858</t>
  </si>
  <si>
    <t>МКП "Раздольненский водоканал"</t>
  </si>
  <si>
    <t>4105127210</t>
  </si>
  <si>
    <t>12-10-2020 00:00:00</t>
  </si>
  <si>
    <t>31237264</t>
  </si>
  <si>
    <t>МКП ВГО "Вилючинский водоканал"</t>
  </si>
  <si>
    <t>4102012468</t>
  </si>
  <si>
    <t>01-01-2019 00:00:00</t>
  </si>
  <si>
    <t>31237283</t>
  </si>
  <si>
    <t>МКУ "Служба материально-технического и организационного обеспечения органов местного самоуправления Октябрьского городского поселения"</t>
  </si>
  <si>
    <t>4108008228</t>
  </si>
  <si>
    <t>03-05-2018 00:00:00</t>
  </si>
  <si>
    <t>31375529</t>
  </si>
  <si>
    <t>МУП "Водоканал УК СП"</t>
  </si>
  <si>
    <t>4109006022</t>
  </si>
  <si>
    <t>31204397</t>
  </si>
  <si>
    <t>МУП "КС"</t>
  </si>
  <si>
    <t>4105087091</t>
  </si>
  <si>
    <t>29-06-2018 00:00:00</t>
  </si>
  <si>
    <t>31534255</t>
  </si>
  <si>
    <t>МУП "Ключевская управляющая компания"</t>
  </si>
  <si>
    <t>4109005597</t>
  </si>
  <si>
    <t>24-03-2021 00:00:00</t>
  </si>
  <si>
    <t>28975100</t>
  </si>
  <si>
    <t>МУП "Коммунальное хозяйство Усть-Большерецкого сельского поселения"</t>
  </si>
  <si>
    <t>4108007873</t>
  </si>
  <si>
    <t>31294010</t>
  </si>
  <si>
    <t>МУП "Николаевское благоустройство"</t>
  </si>
  <si>
    <t>4105044620</t>
  </si>
  <si>
    <t>08-04-2015 00:00:00</t>
  </si>
  <si>
    <t>27837322</t>
  </si>
  <si>
    <t>МУП "Никольская управляющая организация"</t>
  </si>
  <si>
    <t>4103000850</t>
  </si>
  <si>
    <t>410301001</t>
  </si>
  <si>
    <t>24-05-2009 00:00:00</t>
  </si>
  <si>
    <t>31237273</t>
  </si>
  <si>
    <t>МУП "ПКХ"</t>
  </si>
  <si>
    <t>4105086700</t>
  </si>
  <si>
    <t>13-02-2018 00:00:00</t>
  </si>
  <si>
    <t>26459728</t>
  </si>
  <si>
    <t>ООО "Венец"</t>
  </si>
  <si>
    <t>4104003187</t>
  </si>
  <si>
    <t>410401001</t>
  </si>
  <si>
    <t>31452851</t>
  </si>
  <si>
    <t>ООО "Заозерный"</t>
  </si>
  <si>
    <t>4101192867</t>
  </si>
  <si>
    <t>30-07-2020 00:00:00</t>
  </si>
  <si>
    <t>28011989</t>
  </si>
  <si>
    <t>ООО "Коммунальная служба "Паратунка"</t>
  </si>
  <si>
    <t>4105041234</t>
  </si>
  <si>
    <t>28012002</t>
  </si>
  <si>
    <t>ООО "Мегалит"</t>
  </si>
  <si>
    <t>4108007016</t>
  </si>
  <si>
    <t>15-07-2008 00:00:00</t>
  </si>
  <si>
    <t>27580216</t>
  </si>
  <si>
    <t>ООО "Наш дом"</t>
  </si>
  <si>
    <t>8202016015</t>
  </si>
  <si>
    <t>26459690</t>
  </si>
  <si>
    <t>ООО "Родник"</t>
  </si>
  <si>
    <t>4105024359</t>
  </si>
  <si>
    <t>27269681</t>
  </si>
  <si>
    <t>ООО "Светлячок"</t>
  </si>
  <si>
    <t>4105038739</t>
  </si>
  <si>
    <t>30371496</t>
  </si>
  <si>
    <t>4101145708</t>
  </si>
  <si>
    <t>06-07-2011 00:00:00</t>
  </si>
  <si>
    <t>31487975</t>
  </si>
  <si>
    <t>ООО "Устькамчатрыба"</t>
  </si>
  <si>
    <t>4109002780</t>
  </si>
  <si>
    <t>18-07-1997 00:00:00</t>
  </si>
  <si>
    <t>26616495</t>
  </si>
  <si>
    <t>ДП ООО "Аир"</t>
  </si>
  <si>
    <t>4104003282</t>
  </si>
  <si>
    <t>27433715</t>
  </si>
  <si>
    <t>ООО "Жестяно-баночная фабрика и Ко"</t>
  </si>
  <si>
    <t>4101116979</t>
  </si>
  <si>
    <t>26459796</t>
  </si>
  <si>
    <t>ООО "Магма"</t>
  </si>
  <si>
    <t>4100020304</t>
  </si>
  <si>
    <t>31683834</t>
  </si>
  <si>
    <t>АО "Спецтранс"</t>
  </si>
  <si>
    <t>4100046983</t>
  </si>
  <si>
    <t>24-05-2023 00:00:00</t>
  </si>
  <si>
    <t>28903315</t>
  </si>
  <si>
    <t>МУП "Бытсервис"</t>
  </si>
  <si>
    <t>4104002810</t>
  </si>
  <si>
    <t>31-05-2006 00:00:00</t>
  </si>
  <si>
    <t>26459854</t>
  </si>
  <si>
    <t>МУП "Ремжилсервис"</t>
  </si>
  <si>
    <t>4102001321</t>
  </si>
  <si>
    <t>26459852</t>
  </si>
  <si>
    <t>ОАО "ЕМКХ"</t>
  </si>
  <si>
    <t>4105001305</t>
  </si>
  <si>
    <t>28981925</t>
  </si>
  <si>
    <t>ООО "ПРОЕКТ+"</t>
  </si>
  <si>
    <t>4105042943</t>
  </si>
  <si>
    <t>29-08-2013 00:00:00</t>
  </si>
  <si>
    <t>31300451</t>
  </si>
  <si>
    <t>ООО "Феникс"</t>
  </si>
  <si>
    <t>4101181689</t>
  </si>
  <si>
    <t>01-10-2018 00:00:00</t>
  </si>
  <si>
    <t>31473443</t>
  </si>
  <si>
    <t>ООО "Чистый край"</t>
  </si>
  <si>
    <t>4105046137</t>
  </si>
  <si>
    <t>410050100</t>
  </si>
  <si>
    <t>11-02-2021 00:00:00</t>
  </si>
  <si>
    <t>31473465</t>
  </si>
  <si>
    <t>19-08-2016 00:00:00</t>
  </si>
  <si>
    <t>NSRF</t>
  </si>
  <si>
    <t>MR_NAME</t>
  </si>
  <si>
    <t>OKTMO_MR_NAME</t>
  </si>
  <si>
    <t>MO_NAME</t>
  </si>
  <si>
    <t>OKTMO_NAME</t>
  </si>
  <si>
    <t>TYPE</t>
  </si>
  <si>
    <t>MR_ID</t>
  </si>
  <si>
    <t>Алеутский муниципальный округ</t>
  </si>
  <si>
    <t>30501000</t>
  </si>
  <si>
    <t>муниципальный округ</t>
  </si>
  <si>
    <t>Быстринский муниципальный район</t>
  </si>
  <si>
    <t>30604000</t>
  </si>
  <si>
    <t>Анавгайское сельское поселение</t>
  </si>
  <si>
    <t>30604402</t>
  </si>
  <si>
    <t>сельское поселение</t>
  </si>
  <si>
    <t>муниципальный район</t>
  </si>
  <si>
    <t>Межселенные территории, входящие в состав территории Быстринского муниципального района, кроме территорий сельских поселений</t>
  </si>
  <si>
    <t>30604701</t>
  </si>
  <si>
    <t>межселенная территория</t>
  </si>
  <si>
    <t>Эссовское сельское поселение</t>
  </si>
  <si>
    <t>30604401</t>
  </si>
  <si>
    <t>городской округ</t>
  </si>
  <si>
    <t>30607000</t>
  </si>
  <si>
    <t>Вулканное городское поселение</t>
  </si>
  <si>
    <t>30607154</t>
  </si>
  <si>
    <t>городское поселение, в состав которого входит поселок</t>
  </si>
  <si>
    <t>городское поселение, в состав которого входит город</t>
  </si>
  <si>
    <t>Корякское сельское поселение</t>
  </si>
  <si>
    <t>30607407</t>
  </si>
  <si>
    <t>Межселенные территории, входящие в состав территории Елизовского муниципального района, кроме территорий городских и сельских поселений</t>
  </si>
  <si>
    <t>30607701</t>
  </si>
  <si>
    <t>Начикинское сельское поселение</t>
  </si>
  <si>
    <t>30607410</t>
  </si>
  <si>
    <t>Николаевское сельское поселение</t>
  </si>
  <si>
    <t>30607413</t>
  </si>
  <si>
    <t>Новоавачинское сельское поселение</t>
  </si>
  <si>
    <t>30607416</t>
  </si>
  <si>
    <t>Паратунское сельское поселение</t>
  </si>
  <si>
    <t>30607419</t>
  </si>
  <si>
    <t>Пионерское сельское поселение</t>
  </si>
  <si>
    <t>30607421</t>
  </si>
  <si>
    <t>Раздольненское сельское поселение</t>
  </si>
  <si>
    <t>30607422</t>
  </si>
  <si>
    <t>Карагинский муниципальный район</t>
  </si>
  <si>
    <t>30824000</t>
  </si>
  <si>
    <t>Межселенные территории, входящие в состав территории Карагинского муниципального района, кроме территорий городского и сельских поселений, включая территорию упраздненного сельского поселения село Кострома</t>
  </si>
  <si>
    <t>30824701</t>
  </si>
  <si>
    <t>Сельское поселение "Село Ивашка"</t>
  </si>
  <si>
    <t>30824401</t>
  </si>
  <si>
    <t>Сельское поселение "Село Ильпырское"</t>
  </si>
  <si>
    <t>30824402</t>
  </si>
  <si>
    <t>Сельское поселение "Село Карага"</t>
  </si>
  <si>
    <t>30824403</t>
  </si>
  <si>
    <t>Сельское поселение "Село Тымлат"</t>
  </si>
  <si>
    <t>30824405</t>
  </si>
  <si>
    <t>посёлок Оссора</t>
  </si>
  <si>
    <t>30824406</t>
  </si>
  <si>
    <t>Мильковский муниципальный округ</t>
  </si>
  <si>
    <t>30510000</t>
  </si>
  <si>
    <t>Мильковский муниципальный район</t>
  </si>
  <si>
    <t>30610000</t>
  </si>
  <si>
    <t>Атласовское сельское поселение</t>
  </si>
  <si>
    <t>30610408</t>
  </si>
  <si>
    <t>Межселенные территории, входящие в состав территории Мильковского муниципального района, кроме территорий сельских поселений</t>
  </si>
  <si>
    <t>30610701</t>
  </si>
  <si>
    <t>Мильковское сельское поселение</t>
  </si>
  <si>
    <t>30610401</t>
  </si>
  <si>
    <t>Олюторский муниципальный район</t>
  </si>
  <si>
    <t>30827000</t>
  </si>
  <si>
    <t>Межселенные территории, входящие в состав территории Олюторского муниципального района, кроме территорий сельских поселений</t>
  </si>
  <si>
    <t>30827701</t>
  </si>
  <si>
    <t>Сельское поселение "Село Апука"</t>
  </si>
  <si>
    <t>30827401</t>
  </si>
  <si>
    <t>Сельское поселение "Село Ачайваям"</t>
  </si>
  <si>
    <t>30827402</t>
  </si>
  <si>
    <t>Сельское поселение "Село Вывенка"</t>
  </si>
  <si>
    <t>30827403</t>
  </si>
  <si>
    <t>Сельское поселение "Село Пахачи"</t>
  </si>
  <si>
    <t>30827407</t>
  </si>
  <si>
    <t>Сельское поселение "Село Средние Пахачи"</t>
  </si>
  <si>
    <t>30827406</t>
  </si>
  <si>
    <t>Сельское поселение "Село Тиличики"</t>
  </si>
  <si>
    <t>30827405</t>
  </si>
  <si>
    <t>Сельское поселение "Село Хаилино"</t>
  </si>
  <si>
    <t>30827408</t>
  </si>
  <si>
    <t>Пенжинский муниципальный район</t>
  </si>
  <si>
    <t>30829000</t>
  </si>
  <si>
    <t>Межселенные территории, входящие в состав Пенжинского муниципального района, кроме территорий сельских поселений, включающие с Оклан, с Парень</t>
  </si>
  <si>
    <t>30829701</t>
  </si>
  <si>
    <t>Сельское поселение "Село Аянка"</t>
  </si>
  <si>
    <t>30829401</t>
  </si>
  <si>
    <t>Сельское поселение "Село Каменское"</t>
  </si>
  <si>
    <t>30829402</t>
  </si>
  <si>
    <t>Сельское поселение "Село Манилы"</t>
  </si>
  <si>
    <t>30829403</t>
  </si>
  <si>
    <t>Сельское поселение "Село Слаутное"</t>
  </si>
  <si>
    <t>30829404</t>
  </si>
  <si>
    <t>Сельское поселение "Село Таловка"</t>
  </si>
  <si>
    <t>30829405</t>
  </si>
  <si>
    <t>Соболевский муниципальный район</t>
  </si>
  <si>
    <t>30613000</t>
  </si>
  <si>
    <t>Крутогоровское сельское поселение</t>
  </si>
  <si>
    <t>30613403</t>
  </si>
  <si>
    <t>Межселенные территории, входящие в состав территории Соболевского муниципального района, кроме территорий сельских поселений, включая территорию упраздненного Ичинского сельского поселения</t>
  </si>
  <si>
    <t>30613701</t>
  </si>
  <si>
    <t>Соболевское сельское поселение</t>
  </si>
  <si>
    <t>30613401</t>
  </si>
  <si>
    <t>Устьевое сельское поселение</t>
  </si>
  <si>
    <t>30613402</t>
  </si>
  <si>
    <t>Тигильский муниципальный район</t>
  </si>
  <si>
    <t>30832000</t>
  </si>
  <si>
    <t>Межселенные территории, входящие в состав территории Тигильского муниципального района, кроме территорий сельских поселений</t>
  </si>
  <si>
    <t>30832701</t>
  </si>
  <si>
    <t>Сельское поселение "Село Воямполка"</t>
  </si>
  <si>
    <t>30832401</t>
  </si>
  <si>
    <t>Сельское поселение "Село Ковран"</t>
  </si>
  <si>
    <t>30832402</t>
  </si>
  <si>
    <t>Сельское поселение "Село Лесная"</t>
  </si>
  <si>
    <t>30832403</t>
  </si>
  <si>
    <t>Сельское поселение "Село Седанка"</t>
  </si>
  <si>
    <t>30832404</t>
  </si>
  <si>
    <t>Сельское поселение "Село Тигиль"</t>
  </si>
  <si>
    <t>30832405</t>
  </si>
  <si>
    <t>Сельское поселение "Село Усть-Хайрюзово"</t>
  </si>
  <si>
    <t>30832407</t>
  </si>
  <si>
    <t>Сельское поселение "Село Хайрюзово"</t>
  </si>
  <si>
    <t>30832406</t>
  </si>
  <si>
    <t>60</t>
  </si>
  <si>
    <t>61</t>
  </si>
  <si>
    <t>Усть-Большерецкий муниципальный район</t>
  </si>
  <si>
    <t>30616000</t>
  </si>
  <si>
    <t>Апачинское сельское поселение</t>
  </si>
  <si>
    <t>30616402</t>
  </si>
  <si>
    <t>62</t>
  </si>
  <si>
    <t>Запорожское сельское поселение</t>
  </si>
  <si>
    <t>30616404</t>
  </si>
  <si>
    <t>63</t>
  </si>
  <si>
    <t>Кавалерское сельское поселение</t>
  </si>
  <si>
    <t>30616407</t>
  </si>
  <si>
    <t>64</t>
  </si>
  <si>
    <t>Межселенные территории Усть-Большерецкого муниципального района, включающие п Шумный, п Паужетка</t>
  </si>
  <si>
    <t>30616703</t>
  </si>
  <si>
    <t>65</t>
  </si>
  <si>
    <t>Озерновское городское поселение</t>
  </si>
  <si>
    <t>30616157</t>
  </si>
  <si>
    <t>Октябрьское городское поселение</t>
  </si>
  <si>
    <t>30616162</t>
  </si>
  <si>
    <t>67</t>
  </si>
  <si>
    <t>Усть-Большерецкое сельское поселение</t>
  </si>
  <si>
    <t>30616410</t>
  </si>
  <si>
    <t>69</t>
  </si>
  <si>
    <t>Усть-Камчатский муниципальный район</t>
  </si>
  <si>
    <t>30619000</t>
  </si>
  <si>
    <t>Межселенные территории, входящие в состав территории Усть-Камчатского муниципального района, кроме территорий сельских поселений</t>
  </si>
  <si>
    <t>30619701</t>
  </si>
  <si>
    <t>70</t>
  </si>
  <si>
    <t>Сельское поселение Ключи</t>
  </si>
  <si>
    <t>30619402</t>
  </si>
  <si>
    <t>71</t>
  </si>
  <si>
    <t>Сельское поселение Козыревск</t>
  </si>
  <si>
    <t>30619405</t>
  </si>
  <si>
    <t>72</t>
  </si>
  <si>
    <t>73</t>
  </si>
  <si>
    <t>Усть-Камчатское сельское поселение</t>
  </si>
  <si>
    <t>30619401</t>
  </si>
  <si>
    <t>74</t>
  </si>
  <si>
    <t>поселок Палана</t>
  </si>
  <si>
    <t>30851000</t>
  </si>
  <si>
    <t>75</t>
  </si>
  <si>
    <t>NUMBER_POINT</t>
  </si>
  <si>
    <t>INVP_NAME</t>
  </si>
  <si>
    <t>INVP_ID</t>
  </si>
  <si>
    <t>L_START_DATE</t>
  </si>
  <si>
    <t>L_END_DATE</t>
  </si>
  <si>
    <t>L_DECISION_NAME</t>
  </si>
  <si>
    <t>L_DECISION_TYPE</t>
  </si>
  <si>
    <t>L_DECISION_NMBR</t>
  </si>
  <si>
    <t>L_DECISION_DATE</t>
  </si>
  <si>
    <t>TER_NAME</t>
  </si>
  <si>
    <t>Территория 1</t>
  </si>
  <si>
    <t>Территория 2</t>
  </si>
  <si>
    <t>Территория 3</t>
  </si>
  <si>
    <t>Территория 4</t>
  </si>
  <si>
    <t>ID_TARIFF_NAME</t>
  </si>
  <si>
    <t>TARIFF_NAME</t>
  </si>
  <si>
    <t>VED_NAME</t>
  </si>
  <si>
    <t>4190064</t>
  </si>
  <si>
    <t>4190065</t>
  </si>
  <si>
    <t>4190066</t>
  </si>
  <si>
    <t>4190067</t>
  </si>
  <si>
    <t>4190068</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</si>
  <si>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</si>
  <si>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</si>
  <si>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</si>
  <si>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</si>
  <si>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</si>
  <si>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</si>
  <si>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</si>
  <si>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</si>
  <si>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</si>
  <si>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</si>
  <si>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</si>
  <si>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</si>
  <si>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</si>
  <si>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</si>
  <si>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</si>
  <si>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</si>
  <si>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</si>
  <si>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</si>
  <si>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</si>
  <si>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</si>
  <si>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</si>
  <si>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</si>
  <si>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</si>
  <si>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</si>
  <si>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</si>
  <si>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</si>
  <si>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</si>
  <si>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</si>
  <si>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</si>
  <si>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</si>
  <si>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</si>
  <si>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</si>
  <si>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</si>
  <si>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</si>
  <si>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</si>
  <si>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</si>
  <si>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</si>
  <si>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</si>
  <si>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</si>
  <si>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</si>
  <si>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</si>
  <si>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</si>
  <si>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</si>
  <si>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</si>
  <si>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</si>
  <si>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</si>
  <si>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</si>
  <si>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</si>
  <si>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</si>
  <si>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</si>
  <si>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</si>
  <si>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</si>
  <si>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</si>
  <si>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</si>
  <si>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</si>
  <si>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</si>
  <si>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</si>
  <si>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</si>
  <si>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</si>
  <si>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</si>
  <si>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</si>
  <si>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</si>
  <si>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</si>
  <si>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</si>
  <si>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</si>
  <si>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</si>
  <si>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</si>
  <si>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</si>
  <si>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</si>
  <si>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</si>
  <si>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</si>
  <si>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</si>
  <si>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</si>
  <si>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</si>
  <si>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</si>
  <si>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</si>
  <si>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</si>
  <si>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</si>
  <si>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</si>
  <si>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</si>
  <si>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</si>
  <si>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</si>
  <si>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</si>
  <si>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</si>
  <si>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</si>
  <si>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</si>
  <si>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</si>
  <si>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</si>
  <si>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</si>
  <si>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</si>
  <si>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</si>
  <si>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</si>
  <si>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</si>
  <si>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</si>
  <si>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</si>
  <si>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</si>
  <si>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</si>
  <si>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</si>
  <si>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</si>
  <si>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</si>
  <si>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</si>
  <si>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</si>
  <si>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</si>
  <si>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</si>
  <si>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</si>
  <si>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</si>
  <si>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</si>
  <si>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</si>
  <si>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</si>
  <si>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</si>
  <si>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</si>
  <si>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</si>
  <si>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</si>
  <si>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</si>
  <si>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</si>
  <si>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</si>
  <si>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</si>
  <si>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</si>
  <si>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</si>
  <si>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</si>
  <si>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</si>
  <si>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</si>
  <si>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</si>
  <si>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</si>
  <si>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</si>
  <si>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</si>
  <si>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</si>
  <si>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</si>
  <si>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</si>
  <si>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</si>
  <si>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</si>
  <si>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</si>
  <si>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</si>
  <si>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</si>
  <si>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</si>
  <si>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</si>
  <si>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</si>
  <si>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</si>
  <si>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</si>
  <si>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</si>
  <si>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</si>
  <si>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</si>
  <si>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</si>
  <si>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</si>
  <si>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</si>
  <si>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</si>
  <si>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</si>
  <si>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</si>
  <si>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</si>
  <si>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</si>
  <si>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</si>
  <si>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</si>
  <si>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</si>
  <si>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</si>
  <si>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</si>
  <si>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</si>
  <si>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</si>
  <si>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</si>
  <si>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</si>
  <si>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</si>
  <si>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</si>
  <si>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</si>
  <si>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</si>
  <si>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</si>
  <si>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</si>
  <si>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</si>
  <si>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</si>
  <si>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</si>
  <si>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</si>
  <si>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</si>
  <si>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</si>
  <si>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</si>
  <si>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</si>
  <si>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</si>
  <si>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</si>
  <si>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</si>
  <si>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</si>
  <si>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</si>
  <si>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</si>
  <si>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</si>
  <si>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</si>
  <si>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</si>
  <si>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</si>
  <si>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</si>
  <si>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</si>
  <si>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</si>
  <si>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</si>
  <si>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</si>
  <si>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</si>
  <si>
    <t>ПОЛОЖЕНИЕ о закупке товаров,работ,услугдлянужд Общества с ограниченной ответственностью "Ресурсоснабжающая организация"</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</si>
</sst>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00000"/>
    <numFmt numFmtId="165" formatCode="#,##0.000"/>
    <numFmt numFmtId="166" formatCode="#,##0.0000"/>
    <numFmt numFmtId="167" formatCode="dd\.mm\.yyyy"/>
    <numFmt numFmtId="168" formatCode="h:mm;@"/>
    <numFmt numFmtId="169" formatCode="_-* #,##0.00[$€-1]_-;\-* #,##0.00[$€-1]_-;_-* &quot;-&quot;??[$€-1]_-"/>
    <numFmt numFmtId="170" formatCode="#,##0.0"/>
  </numFmts>
  <fonts count="116">
    <font>
      <sz val="9"/>
      <color rgb="FF000000"/>
      <name val="Tahoma"/>
    </font>
    <font>
      <sz val="11"/>
      <color theme="1"/>
      <name val="Calibri"/>
      <scheme val="minor"/>
    </font>
    <font>
      <sz val="12"/>
      <name val="Arial"/>
    </font>
    <font>
      <sz val="10"/>
      <name val="Helv"/>
    </font>
    <font>
      <sz val="8"/>
      <name val="Arial"/>
    </font>
    <font>
      <sz val="9"/>
      <name val="Tahoma"/>
    </font>
    <font>
      <sz val="8"/>
      <name val="Palatino"/>
    </font>
    <font>
      <u/>
      <sz val="10"/>
      <color rgb="FF800080"/>
      <name val="Arial Cyr"/>
    </font>
    <font>
      <sz val="8"/>
      <name val="Helv"/>
    </font>
    <font>
      <u/>
      <sz val="9"/>
      <color theme="10"/>
      <name val="Tahoma"/>
    </font>
    <font>
      <sz val="10"/>
      <name val="Arial"/>
    </font>
    <font>
      <sz val="10"/>
      <name val="Arial Cyr"/>
    </font>
    <font>
      <u/>
      <sz val="9"/>
      <color theme="11"/>
      <name val="Tahoma"/>
    </font>
    <font>
      <sz val="11"/>
      <color rgb="FF000000"/>
      <name val="Calibri"/>
    </font>
    <font>
      <sz val="9"/>
      <color rgb="FFFFFFFF"/>
      <name val="Tahoma"/>
    </font>
    <font>
      <sz val="9"/>
      <color rgb="FFCC0000"/>
      <name val="Tahoma"/>
    </font>
    <font>
      <sz val="16"/>
      <name val="Tahoma"/>
    </font>
    <font>
      <sz val="16"/>
      <color rgb="FFFFFFFF"/>
      <name val="Tahoma"/>
    </font>
    <font>
      <sz val="9"/>
      <color rgb="FFBCBCBC"/>
      <name val="Tahoma"/>
    </font>
    <font>
      <sz val="11"/>
      <color rgb="FFBCBCBC"/>
      <name val="Wingdings 2"/>
    </font>
    <font>
      <b/>
      <u/>
      <sz val="9"/>
      <name val="Tahoma"/>
    </font>
    <font>
      <sz val="11"/>
      <name val="Webdings2"/>
    </font>
    <font>
      <sz val="9"/>
      <color rgb="FF000080"/>
      <name val="Tahoma"/>
    </font>
    <font>
      <b/>
      <sz val="11"/>
      <color rgb="FF000000"/>
      <name val="Calibri"/>
    </font>
    <font>
      <sz val="11"/>
      <name val="Wingdings 2"/>
    </font>
    <font>
      <b/>
      <sz val="9"/>
      <color rgb="FFFFFFFF"/>
      <name val="Tahoma"/>
    </font>
    <font>
      <b/>
      <u/>
      <sz val="9"/>
      <color rgb="FF000080"/>
      <name val="Tahoma"/>
    </font>
    <font>
      <sz val="8"/>
      <name val="Tahoma"/>
    </font>
    <font>
      <sz val="10"/>
      <name val="Tahoma"/>
    </font>
    <font>
      <sz val="9"/>
      <color theme="0"/>
      <name val="Tahoma"/>
    </font>
    <font>
      <sz val="1"/>
      <color theme="0"/>
      <name val="Tahoma"/>
    </font>
    <font>
      <b/>
      <sz val="1"/>
      <color theme="0"/>
      <name val="Calibri"/>
    </font>
    <font>
      <b/>
      <sz val="9"/>
      <name val="Tahoma"/>
    </font>
    <font>
      <sz val="8"/>
      <color rgb="FFBCBCBC"/>
      <name val="Tahoma"/>
    </font>
    <font>
      <sz val="12"/>
      <color rgb="FF000000"/>
      <name val="Tahoma"/>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name val="Tahoma"/>
    </font>
    <font>
      <sz val="3"/>
      <color rgb="FF000000"/>
      <name val="Tahoma"/>
    </font>
    <font>
      <sz val="3"/>
      <color rgb="FF993300"/>
      <name val="Tahoma"/>
    </font>
    <font>
      <sz val="1"/>
      <color rgb="FFFFFFFF"/>
      <name val="Tahoma"/>
    </font>
    <font>
      <sz val="18"/>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name val="Tahoma"/>
    </font>
    <font>
      <sz val="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name val="Marlett"/>
    </font>
    <font>
      <sz val="9"/>
      <color rgb="FFBCBCBC"/>
      <name val="Wingdings 2"/>
    </font>
    <font>
      <sz val="12"/>
      <name val="Tahoma"/>
    </font>
    <font>
      <sz val="15"/>
      <color theme="0"/>
      <name val="Tahoma"/>
    </font>
    <font>
      <sz val="1"/>
      <color rgb="FFFF0000"/>
      <name val="Tahoma"/>
    </font>
    <font>
      <b/>
      <sz val="11"/>
      <color theme="0"/>
      <name val="Calibri"/>
    </font>
    <font>
      <sz val="11"/>
      <color theme="0"/>
      <name val="Tahoma"/>
    </font>
    <font>
      <sz val="3"/>
      <color theme="0"/>
      <name val="Tahoma"/>
    </font>
    <font>
      <b/>
      <sz val="3"/>
      <name val="Tahoma"/>
    </font>
    <font>
      <b/>
      <sz val="9"/>
      <color rgb="FF0070C0"/>
      <name val="Tahoma"/>
    </font>
    <font>
      <sz val="7"/>
      <name val="Tahoma"/>
    </font>
    <font>
      <sz val="7"/>
      <color rgb="FFFFFFFF"/>
      <name val="Tahoma"/>
    </font>
    <font>
      <sz val="7"/>
      <color theme="0" tint="-0.499984740745262"/>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name val="Tahoma"/>
    </font>
    <font>
      <b/>
      <sz val="1"/>
      <color rgb="FF000080"/>
      <name val="Tahoma"/>
    </font>
    <font>
      <b/>
      <sz val="10"/>
      <name val="Tahoma"/>
    </font>
    <font>
      <b/>
      <sz val="9"/>
      <color rgb="FF000000"/>
      <name val="Tahoma"/>
    </font>
    <font>
      <sz val="10"/>
      <color rgb="FF000000"/>
      <name val="Arial"/>
    </font>
    <font>
      <sz val="8"/>
      <color rgb="FF000080"/>
      <name val="Tahoma"/>
    </font>
    <font>
      <sz val="1"/>
      <name val="Webdings2"/>
    </font>
    <font>
      <sz val="1"/>
      <color theme="0"/>
      <name val="Webdings2"/>
    </font>
    <font>
      <b/>
      <sz val="9"/>
      <name val="Calibri"/>
    </font>
    <font>
      <sz val="1"/>
      <color rgb="FF000080"/>
      <name val="Tahoma"/>
    </font>
    <font>
      <sz val="9"/>
      <color theme="0"/>
      <name val="Webdings2"/>
    </font>
    <font>
      <sz val="1"/>
      <color theme="0"/>
      <name val="Wingdings 2"/>
    </font>
    <font>
      <sz val="18"/>
      <color theme="0"/>
      <name val="Tahoma"/>
    </font>
    <font>
      <sz val="9"/>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name val="Tahoma"/>
    </font>
    <font>
      <sz val="9"/>
      <color rgb="FF000000"/>
      <name val="Tahoma"/>
    </font>
    <font>
      <b/>
      <sz val="9"/>
      <name val="Tahoma"/>
      <family val="2"/>
      <charset val="204"/>
    </font>
    <font>
      <sz val="9"/>
      <name val="Tahoma"/>
      <family val="2"/>
      <charset val="204"/>
    </font>
    <font>
      <vertAlign val="superscript"/>
      <sz val="9"/>
      <name val="Tahoma"/>
      <family val="2"/>
      <charset val="204"/>
    </font>
    <font>
      <sz val="9"/>
      <color indexed="81"/>
      <name val="Arial"/>
      <family val="2"/>
    </font>
    <font>
      <sz val="9"/>
      <color indexed="81"/>
      <name val="Tahoma"/>
      <family val="2"/>
    </font>
  </fonts>
  <fills count="31">
    <fill>
      <patternFill patternType="none"/>
    </fill>
    <fill>
      <patternFill patternType="gray125"/>
    </fill>
    <fill>
      <patternFill patternType="solid">
        <fgColor theme="5" tint="0.79998168889431442"/>
        <bgColor indexed="65"/>
      </patternFill>
    </fill>
    <fill>
      <patternFill patternType="solid">
        <fgColor theme="7" tint="0.79998168889431442"/>
        <bgColor indexed="65"/>
      </patternFill>
    </fill>
    <fill>
      <patternFill patternType="solid">
        <fgColor theme="9" tint="0.79998168889431442"/>
        <bgColor indexed="65"/>
      </patternFill>
    </fill>
    <fill>
      <patternFill patternType="solid">
        <fgColor theme="6" tint="0.39997558519241921"/>
        <bgColor indexed="65"/>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9.9978637043366805E-2"/>
        <bgColor indexed="65"/>
      </patternFill>
    </fill>
    <fill>
      <patternFill patternType="solid">
        <fgColor theme="9" tint="-0.249977111117893"/>
        <bgColor indexed="65"/>
      </patternFill>
    </fill>
    <fill>
      <patternFill patternType="solid">
        <fgColor theme="0" tint="-0.14999847407452621"/>
        <bgColor indexed="6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66">
    <border>
      <left/>
      <right/>
      <top/>
      <bottom/>
      <diagonal/>
    </border>
    <border>
      <left style="thin">
        <color rgb="FF000000"/>
      </left>
      <right style="thin">
        <color rgb="FF000000"/>
      </right>
      <top style="thin">
        <color rgb="FF000000"/>
      </top>
      <bottom style="thin">
        <color rgb="FF000000"/>
      </bottom>
      <diagonal/>
    </border>
    <border>
      <left style="thin">
        <color rgb="FFBCBCBC"/>
      </left>
      <right style="thin">
        <color rgb="FFBCBCBC"/>
      </right>
      <top style="thin">
        <color rgb="FFBCBCBC"/>
      </top>
      <bottom style="thin">
        <color rgb="FFBCBCBC"/>
      </bottom>
      <diagonal/>
    </border>
    <border>
      <left style="thin">
        <color rgb="FFC0C0C0"/>
      </left>
      <right style="thin">
        <color rgb="FFC0C0C0"/>
      </right>
      <top style="thin">
        <color rgb="FFC0C0C0"/>
      </top>
      <bottom style="thin">
        <color rgb="FFC0C0C0"/>
      </bottom>
      <diagonal/>
    </border>
    <border>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style="thin">
        <color rgb="FFD3DBDB"/>
      </left>
      <right style="thin">
        <color rgb="FFD3DBDB"/>
      </right>
      <top style="thin">
        <color rgb="FFD3DBDB"/>
      </top>
      <bottom style="thin">
        <color rgb="FFD3DBDB"/>
      </bottom>
      <diagonal/>
    </border>
    <border>
      <left style="thin">
        <color rgb="FFC0C0C0"/>
      </left>
      <right style="thin">
        <color rgb="FFC0C0C0"/>
      </right>
      <top style="thin">
        <color rgb="FFC0C0C0"/>
      </top>
      <bottom/>
      <diagonal/>
    </border>
    <border>
      <left/>
      <right/>
      <top style="dotted">
        <color rgb="FF000000"/>
      </top>
      <bottom style="dotted">
        <color rgb="FF000000"/>
      </bottom>
      <diagonal/>
    </border>
    <border>
      <left/>
      <right/>
      <top style="thin">
        <color rgb="FFC0C0C0"/>
      </top>
      <bottom/>
      <diagonal/>
    </border>
    <border>
      <left/>
      <right style="thin">
        <color rgb="FFC0C0C0"/>
      </right>
      <top style="thin">
        <color rgb="FFC0C0C0"/>
      </top>
      <bottom/>
      <diagonal/>
    </border>
    <border>
      <left/>
      <right/>
      <top style="thin">
        <color rgb="FFD3DBDB"/>
      </top>
      <bottom/>
      <diagonal/>
    </border>
    <border>
      <left style="thin">
        <color rgb="FFC0C0C0"/>
      </left>
      <right/>
      <top/>
      <bottom/>
      <diagonal/>
    </border>
    <border>
      <left style="thin">
        <color rgb="FFC0C0C0"/>
      </left>
      <right style="thin">
        <color rgb="FFC0C0C0"/>
      </right>
      <top/>
      <bottom style="thin">
        <color rgb="FFC0C0C0"/>
      </bottom>
      <diagonal/>
    </border>
    <border>
      <left/>
      <right style="thin">
        <color rgb="FFC0C0C0"/>
      </right>
      <top/>
      <bottom/>
      <diagonal/>
    </border>
    <border>
      <left style="thin">
        <color rgb="FFC0C0C0"/>
      </left>
      <right style="thin">
        <color rgb="FFC0C0C0"/>
      </right>
      <top style="thin">
        <color rgb="FFC0C0C0"/>
      </top>
      <bottom style="thin">
        <color rgb="FFBCBCBC"/>
      </bottom>
      <diagonal/>
    </border>
    <border>
      <left style="hair">
        <color rgb="FFC0C0C0"/>
      </left>
      <right/>
      <top style="hair">
        <color rgb="FFC0C0C0"/>
      </top>
      <bottom style="hair">
        <color rgb="FFC0C0C0"/>
      </bottom>
      <diagonal/>
    </border>
    <border>
      <left/>
      <right/>
      <top/>
      <bottom style="thin">
        <color rgb="FFC0C0C0"/>
      </bottom>
      <diagonal/>
    </border>
    <border>
      <left style="thin">
        <color theme="0" tint="-0.249977111117893"/>
      </left>
      <right style="thin">
        <color rgb="FFC0C0C0"/>
      </right>
      <top style="thin">
        <color rgb="FFC0C0C0"/>
      </top>
      <bottom style="thin">
        <color rgb="FFC0C0C0"/>
      </bottom>
      <diagonal/>
    </border>
    <border>
      <left/>
      <right style="thin">
        <color rgb="FFC0C0C0"/>
      </right>
      <top/>
      <bottom style="thin">
        <color rgb="FFC0C0C0"/>
      </bottom>
      <diagonal/>
    </border>
    <border>
      <left style="thin">
        <color rgb="FFC0C0C0"/>
      </left>
      <right/>
      <top/>
      <bottom style="thin">
        <color rgb="FFC0C0C0"/>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rgb="FFC0C0C0"/>
      </left>
      <right style="thin">
        <color rgb="FFC0C0C0"/>
      </right>
      <top/>
      <bottom/>
      <diagonal/>
    </border>
    <border>
      <left style="thin">
        <color rgb="FFC0C0C0"/>
      </left>
      <right/>
      <top style="thin">
        <color rgb="FFC0C0C0"/>
      </top>
      <bottom/>
      <diagonal/>
    </border>
    <border>
      <left style="thin">
        <color rgb="FFBCBCBC"/>
      </left>
      <right/>
      <top/>
      <bottom/>
      <diagonal/>
    </border>
    <border>
      <left/>
      <right/>
      <top/>
      <bottom style="thin">
        <color rgb="FFBCBCBC"/>
      </bottom>
      <diagonal/>
    </border>
    <border>
      <left style="thin">
        <color theme="0" tint="-0.249977111117893"/>
      </left>
      <right style="thin">
        <color theme="0" tint="-0.249977111117893"/>
      </right>
      <top/>
      <bottom/>
      <diagonal/>
    </border>
    <border>
      <left/>
      <right/>
      <top style="thin">
        <color rgb="FFBCBCBC"/>
      </top>
      <bottom style="thin">
        <color rgb="FFBCBCBC"/>
      </bottom>
      <diagonal/>
    </border>
    <border>
      <left style="thin">
        <color rgb="FFC0C0C0"/>
      </left>
      <right/>
      <top style="thin">
        <color rgb="FFBCBCBC"/>
      </top>
      <bottom style="thin">
        <color rgb="FFC0C0C0"/>
      </bottom>
      <diagonal/>
    </border>
    <border>
      <left/>
      <right/>
      <top style="thin">
        <color rgb="FFBCBCBC"/>
      </top>
      <bottom style="thin">
        <color rgb="FFC0C0C0"/>
      </bottom>
      <diagonal/>
    </border>
    <border>
      <left/>
      <right/>
      <top style="thin">
        <color rgb="FFD3DBDB"/>
      </top>
      <bottom style="thin">
        <color rgb="FFD3DBDB"/>
      </bottom>
      <diagonal/>
    </border>
    <border>
      <left style="thin">
        <color rgb="FFD3DBDB"/>
      </left>
      <right/>
      <top style="thin">
        <color rgb="FFD3DBDB"/>
      </top>
      <bottom style="thin">
        <color rgb="FFD3DBDB"/>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BCBCBC"/>
      </left>
      <right/>
      <top style="medium">
        <color rgb="FFBCBCBC"/>
      </top>
      <bottom style="thin">
        <color rgb="FFC0C0C0"/>
      </bottom>
      <diagonal/>
    </border>
    <border>
      <left style="thin">
        <color rgb="FFBCBCBC"/>
      </left>
      <right/>
      <top style="medium">
        <color rgb="FFBCBCBC"/>
      </top>
      <bottom/>
      <diagonal/>
    </border>
    <border>
      <left/>
      <right/>
      <top style="medium">
        <color rgb="FFBCBCBC"/>
      </top>
      <bottom/>
      <diagonal/>
    </border>
    <border>
      <left/>
      <right/>
      <top/>
      <bottom style="medium">
        <color rgb="FFC0C0C0"/>
      </bottom>
      <diagonal/>
    </border>
    <border>
      <left/>
      <right/>
      <top style="thin">
        <color rgb="FFC0C0C0"/>
      </top>
      <bottom style="medium">
        <color rgb="FFC0C0C0"/>
      </bottom>
      <diagonal/>
    </border>
    <border>
      <left/>
      <right style="thin">
        <color theme="0" tint="-0.249977111117893"/>
      </right>
      <top style="thin">
        <color rgb="FFC0C0C0"/>
      </top>
      <bottom style="thin">
        <color rgb="FFC0C0C0"/>
      </bottom>
      <diagonal/>
    </border>
    <border>
      <left/>
      <right/>
      <top style="medium">
        <color rgb="FFBCBCBC"/>
      </top>
      <bottom style="thin">
        <color rgb="FFBCBCBC"/>
      </bottom>
      <diagonal/>
    </border>
    <border>
      <left/>
      <right style="thin">
        <color rgb="FFBCBCBC"/>
      </right>
      <top style="medium">
        <color rgb="FFBCBCBC"/>
      </top>
      <bottom style="thin">
        <color rgb="FFBCBCBC"/>
      </bottom>
      <diagonal/>
    </border>
    <border>
      <left/>
      <right/>
      <top style="medium">
        <color rgb="FFC0C0C0"/>
      </top>
      <bottom style="thin">
        <color rgb="FFC0C0C0"/>
      </bottom>
      <diagonal/>
    </border>
    <border>
      <left style="thin">
        <color rgb="FFC0C0C0"/>
      </left>
      <right/>
      <top style="thin">
        <color rgb="FFC0C0C0"/>
      </top>
      <bottom style="medium">
        <color rgb="FFC0C0C0"/>
      </bottom>
      <diagonal/>
    </border>
    <border>
      <left style="thin">
        <color theme="0" tint="-0.249977111117893"/>
      </left>
      <right style="thin">
        <color rgb="FFC0C0C0"/>
      </right>
      <top style="thin">
        <color rgb="FFC0C0C0"/>
      </top>
      <bottom/>
      <diagonal/>
    </border>
    <border>
      <left style="thin">
        <color theme="0" tint="-0.249977111117893"/>
      </left>
      <right/>
      <top style="thin">
        <color rgb="FFC0C0C0"/>
      </top>
      <bottom style="thin">
        <color rgb="FFC0C0C0"/>
      </bottom>
      <diagonal/>
    </border>
    <border>
      <left style="thin">
        <color theme="0" tint="-0.249977111117893"/>
      </left>
      <right/>
      <top style="thin">
        <color rgb="FFC0C0C0"/>
      </top>
      <bottom/>
      <diagonal/>
    </border>
    <border>
      <left style="thin">
        <color rgb="FFBCBCBC"/>
      </left>
      <right/>
      <top style="thin">
        <color rgb="FFBCBCBC"/>
      </top>
      <bottom/>
      <diagonal/>
    </border>
    <border>
      <left/>
      <right/>
      <top style="thin">
        <color rgb="FFBCBCBC"/>
      </top>
      <bottom/>
      <diagonal/>
    </border>
    <border>
      <left style="thin">
        <color rgb="FFBCBCBC"/>
      </left>
      <right/>
      <top/>
      <bottom style="thin">
        <color rgb="FFBCBCBC"/>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style="thin">
        <color rgb="FFBCBCBC"/>
      </right>
      <top/>
      <bottom/>
      <diagonal/>
    </border>
    <border>
      <left/>
      <right style="thin">
        <color rgb="FFBCBCBC"/>
      </right>
      <top style="thin">
        <color rgb="FFBCBCBC"/>
      </top>
      <bottom/>
      <diagonal/>
    </border>
    <border>
      <left style="thin">
        <color rgb="FFC0C0C0"/>
      </left>
      <right style="thin">
        <color rgb="FFC0C0C0"/>
      </right>
      <top style="thin">
        <color rgb="FFBCBCBC"/>
      </top>
      <bottom style="thin">
        <color rgb="FFBCBCBC"/>
      </bottom>
      <diagonal/>
    </border>
    <border>
      <left style="thin">
        <color rgb="FFC0C0C0"/>
      </left>
      <right/>
      <top style="thin">
        <color rgb="FFBCBCBC"/>
      </top>
      <bottom style="thin">
        <color rgb="FFBCBCBC"/>
      </bottom>
      <diagonal/>
    </border>
    <border>
      <left/>
      <right style="thin">
        <color rgb="FFC0C0C0"/>
      </right>
      <top style="thin">
        <color rgb="FFBCBCBC"/>
      </top>
      <bottom style="thin">
        <color rgb="FFBCBCBC"/>
      </bottom>
      <diagonal/>
    </border>
    <border>
      <left style="thin">
        <color rgb="FFBCBCBC"/>
      </left>
      <right/>
      <top style="thin">
        <color rgb="FFBCBCBC"/>
      </top>
      <bottom style="thin">
        <color rgb="FFBCBCBC"/>
      </bottom>
      <diagonal/>
    </border>
    <border>
      <left/>
      <right style="thin">
        <color rgb="FFBCBCBC"/>
      </right>
      <top style="thin">
        <color rgb="FFBCBCBC"/>
      </top>
      <bottom style="thin">
        <color rgb="FFBCBCBC"/>
      </bottom>
      <diagonal/>
    </border>
    <border>
      <left style="thin">
        <color rgb="FFBCBCBC"/>
      </left>
      <right/>
      <top style="thin">
        <color rgb="FFBCBCBC"/>
      </top>
      <bottom style="thin">
        <color rgb="FFC0C0C0"/>
      </bottom>
      <diagonal/>
    </border>
    <border>
      <left style="thin">
        <color rgb="FFC0C0C0"/>
      </left>
      <right style="thin">
        <color rgb="FFC0C0C0"/>
      </right>
      <top style="thin">
        <color rgb="FFC0C0C0"/>
      </top>
      <bottom style="medium">
        <color rgb="FFC0C0C0"/>
      </bottom>
      <diagonal/>
    </border>
  </borders>
  <cellStyleXfs count="15">
    <xf numFmtId="49" fontId="0" fillId="0" borderId="0" applyFill="0" applyBorder="0">
      <alignment vertical="top"/>
    </xf>
    <xf numFmtId="0" fontId="2" fillId="0" borderId="0" applyFill="0" applyBorder="0">
      <alignment vertical="top"/>
    </xf>
    <xf numFmtId="0" fontId="3" fillId="0" borderId="0" applyFill="0" applyBorder="0"/>
    <xf numFmtId="169" fontId="3" fillId="0" borderId="0" applyFill="0" applyBorder="0"/>
    <xf numFmtId="38" fontId="4" fillId="0" borderId="0" applyFill="0" applyBorder="0">
      <alignment vertical="top"/>
    </xf>
    <xf numFmtId="170" fontId="5" fillId="6" borderId="0" applyBorder="0">
      <protection locked="0"/>
    </xf>
    <xf numFmtId="0" fontId="6" fillId="0" borderId="0" applyFill="0" applyBorder="0">
      <alignment vertical="center"/>
    </xf>
    <xf numFmtId="165" fontId="5" fillId="6" borderId="0" applyBorder="0">
      <protection locked="0"/>
    </xf>
    <xf numFmtId="166" fontId="5" fillId="6" borderId="0" applyBorder="0">
      <protection locked="0"/>
    </xf>
    <xf numFmtId="0" fontId="7" fillId="0" borderId="0" applyFill="0" applyBorder="0">
      <alignment vertical="top"/>
    </xf>
    <xf numFmtId="0" fontId="8" fillId="0" borderId="0" applyFill="0" applyBorder="0"/>
    <xf numFmtId="49" fontId="5" fillId="0" borderId="0" applyFill="0" applyBorder="0">
      <alignment vertical="top"/>
    </xf>
    <xf numFmtId="0" fontId="10" fillId="0" borderId="0" applyFill="0" applyBorder="0"/>
    <xf numFmtId="49" fontId="110" fillId="0" borderId="0" applyFill="0" applyBorder="0">
      <alignment vertical="top"/>
    </xf>
    <xf numFmtId="0" fontId="12" fillId="0" borderId="0" applyFill="0" applyBorder="0">
      <alignment vertical="top"/>
    </xf>
  </cellStyleXfs>
  <cellXfs count="3473">
    <xf numFmtId="49" fontId="0" fillId="0" borderId="0" xfId="0" applyNumberFormat="1" applyFont="1">
      <alignment vertical="top"/>
    </xf>
    <xf numFmtId="49" fontId="0" fillId="0" borderId="0" xfId="13" applyNumberFormat="1" applyFont="1">
      <alignment vertical="top"/>
    </xf>
    <xf numFmtId="0" fontId="11" fillId="0" borderId="0" xfId="0" applyNumberFormat="1" applyFont="1" applyAlignment="1"/>
    <xf numFmtId="0" fontId="5" fillId="0" borderId="0" xfId="0" applyNumberFormat="1" applyFont="1" applyAlignment="1">
      <alignment vertical="top" wrapText="1"/>
    </xf>
    <xf numFmtId="49" fontId="0" fillId="0" borderId="0" xfId="0" applyNumberFormat="1" applyFont="1">
      <alignment vertical="top"/>
    </xf>
    <xf numFmtId="49" fontId="5" fillId="7" borderId="1" xfId="0" applyNumberFormat="1" applyFont="1" applyFill="1" applyBorder="1" applyAlignment="1">
      <alignment horizontal="center" vertical="top"/>
    </xf>
    <xf numFmtId="49" fontId="0" fillId="0" borderId="0" xfId="0" applyNumberFormat="1" applyFont="1">
      <alignment vertical="top"/>
    </xf>
    <xf numFmtId="0" fontId="5" fillId="0" borderId="0" xfId="0" applyNumberFormat="1" applyFont="1" applyAlignment="1"/>
    <xf numFmtId="0" fontId="5" fillId="8" borderId="0" xfId="0" applyNumberFormat="1" applyFont="1" applyFill="1" applyAlignment="1"/>
    <xf numFmtId="0" fontId="14" fillId="0" borderId="0" xfId="0" applyNumberFormat="1" applyFont="1" applyAlignment="1">
      <alignment vertical="center" wrapText="1"/>
    </xf>
    <xf numFmtId="0" fontId="15" fillId="0" borderId="0" xfId="0" applyNumberFormat="1" applyFont="1" applyAlignment="1">
      <alignment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6" fillId="8" borderId="0" xfId="0" applyNumberFormat="1" applyFont="1" applyFill="1" applyAlignment="1">
      <alignment vertical="center" wrapText="1"/>
    </xf>
    <xf numFmtId="0" fontId="5" fillId="8" borderId="0" xfId="0" applyNumberFormat="1" applyFont="1" applyFill="1" applyAlignment="1">
      <alignment horizontal="right" vertical="center" wrapText="1" indent="1"/>
    </xf>
    <xf numFmtId="0" fontId="5" fillId="8" borderId="0" xfId="0" applyNumberFormat="1" applyFont="1" applyFill="1" applyAlignment="1">
      <alignment horizontal="center" vertical="center" wrapText="1"/>
    </xf>
    <xf numFmtId="0" fontId="15" fillId="0" borderId="0" xfId="0" applyNumberFormat="1" applyFont="1" applyAlignment="1">
      <alignment horizontal="center" vertical="center" wrapText="1"/>
    </xf>
    <xf numFmtId="0" fontId="17" fillId="8" borderId="0" xfId="0" applyNumberFormat="1" applyFont="1" applyFill="1" applyAlignment="1">
      <alignment horizontal="center" vertical="center" wrapText="1"/>
    </xf>
    <xf numFmtId="0" fontId="5" fillId="0" borderId="0" xfId="0" applyNumberFormat="1" applyFont="1" applyAlignment="1">
      <alignment vertical="center"/>
    </xf>
    <xf numFmtId="49" fontId="5" fillId="8" borderId="0" xfId="0" applyNumberFormat="1" applyFont="1" applyFill="1" applyAlignment="1">
      <alignment horizontal="right" vertical="center" wrapText="1" indent="1"/>
    </xf>
    <xf numFmtId="49" fontId="16" fillId="8" borderId="0" xfId="0" applyNumberFormat="1" applyFont="1" applyFill="1" applyAlignment="1">
      <alignment horizontal="center" vertical="center" wrapText="1"/>
    </xf>
    <xf numFmtId="0" fontId="5" fillId="0" borderId="0" xfId="0" applyNumberFormat="1" applyFont="1" applyAlignment="1">
      <alignment vertical="center" wrapText="1"/>
    </xf>
    <xf numFmtId="0" fontId="5" fillId="8" borderId="0" xfId="0" applyNumberFormat="1" applyFont="1" applyFill="1" applyAlignment="1">
      <alignment vertical="center" wrapText="1"/>
    </xf>
    <xf numFmtId="0" fontId="5" fillId="8" borderId="0" xfId="0" applyNumberFormat="1" applyFont="1" applyFill="1" applyAlignment="1">
      <alignment horizontal="right" vertical="center" wrapText="1"/>
    </xf>
    <xf numFmtId="49" fontId="0" fillId="8" borderId="0" xfId="0" applyNumberFormat="1" applyFont="1" applyFill="1" applyAlignment="1">
      <alignment horizontal="right" vertical="center" wrapText="1" indent="1"/>
    </xf>
    <xf numFmtId="49" fontId="18" fillId="8" borderId="0" xfId="0" applyNumberFormat="1" applyFont="1" applyFill="1" applyAlignment="1">
      <alignment horizontal="center" vertical="center" wrapText="1"/>
    </xf>
    <xf numFmtId="49" fontId="0" fillId="0" borderId="0" xfId="0" applyNumberFormat="1" applyFont="1">
      <alignment vertical="top"/>
    </xf>
    <xf numFmtId="49" fontId="0" fillId="0" borderId="0" xfId="0" applyNumberFormat="1" applyFont="1">
      <alignment vertical="top"/>
    </xf>
    <xf numFmtId="0" fontId="19" fillId="8" borderId="0" xfId="0" applyNumberFormat="1" applyFont="1" applyFill="1" applyAlignment="1">
      <alignment horizontal="center" vertical="center" wrapText="1"/>
    </xf>
    <xf numFmtId="0" fontId="19" fillId="0" borderId="0" xfId="0" applyNumberFormat="1" applyFont="1" applyAlignment="1">
      <alignment horizontal="center" vertical="center"/>
    </xf>
    <xf numFmtId="0" fontId="19" fillId="8" borderId="0" xfId="0" applyNumberFormat="1" applyFont="1" applyFill="1" applyAlignment="1">
      <alignment horizontal="center" vertical="center"/>
    </xf>
    <xf numFmtId="49" fontId="20" fillId="0" borderId="2" xfId="0" applyNumberFormat="1" applyFont="1" applyBorder="1" applyAlignment="1">
      <alignment vertical="top" wrapText="1"/>
    </xf>
    <xf numFmtId="0" fontId="0" fillId="0" borderId="2" xfId="0" applyNumberFormat="1" applyFont="1" applyBorder="1" applyAlignment="1">
      <alignment vertical="top" wrapText="1"/>
    </xf>
    <xf numFmtId="0" fontId="5" fillId="8" borderId="0" xfId="0" applyNumberFormat="1" applyFont="1" applyFill="1" applyAlignment="1">
      <alignment horizontal="center" vertical="center" wrapText="1"/>
    </xf>
    <xf numFmtId="0" fontId="21" fillId="8" borderId="0" xfId="0" applyNumberFormat="1" applyFont="1" applyFill="1" applyAlignment="1">
      <alignment vertical="center" wrapText="1"/>
    </xf>
    <xf numFmtId="0" fontId="21" fillId="0" borderId="0" xfId="0" applyNumberFormat="1" applyFont="1" applyAlignment="1">
      <alignment vertical="center" wrapText="1"/>
    </xf>
    <xf numFmtId="0" fontId="14"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NumberFormat="1" applyFont="1">
      <alignment vertical="top"/>
    </xf>
    <xf numFmtId="49" fontId="5"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0" fillId="0" borderId="0" xfId="0" applyNumberFormat="1" applyFont="1" applyAlignment="1">
      <alignment vertical="center"/>
    </xf>
    <xf numFmtId="0" fontId="5" fillId="8" borderId="3" xfId="0" applyNumberFormat="1" applyFont="1" applyFill="1" applyBorder="1" applyAlignment="1">
      <alignment horizontal="center" vertical="center" wrapText="1"/>
    </xf>
    <xf numFmtId="49" fontId="5" fillId="9" borderId="3" xfId="0" applyNumberFormat="1" applyFont="1" applyFill="1" applyBorder="1" applyAlignment="1" applyProtection="1">
      <alignment horizontal="left" vertical="center" wrapText="1"/>
      <protection locked="0"/>
    </xf>
    <xf numFmtId="49" fontId="22" fillId="10" borderId="4" xfId="0" applyNumberFormat="1" applyFont="1" applyFill="1" applyBorder="1" applyAlignment="1">
      <alignment horizontal="left" vertical="center"/>
    </xf>
    <xf numFmtId="0" fontId="0" fillId="0" borderId="3" xfId="0" applyNumberFormat="1" applyFont="1" applyBorder="1" applyAlignment="1">
      <alignment horizontal="center" vertical="center" wrapText="1"/>
    </xf>
    <xf numFmtId="0" fontId="5" fillId="10" borderId="5"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23" fillId="0" borderId="0" xfId="0" applyNumberFormat="1" applyFont="1" applyAlignment="1">
      <alignment vertical="center"/>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0" fontId="14" fillId="0" borderId="0" xfId="0" applyNumberFormat="1" applyFont="1" applyAlignment="1">
      <alignment vertical="center" wrapText="1"/>
    </xf>
    <xf numFmtId="0" fontId="24" fillId="0" borderId="0" xfId="0" applyNumberFormat="1" applyFont="1" applyAlignment="1">
      <alignment vertical="center" wrapText="1"/>
    </xf>
    <xf numFmtId="49" fontId="5" fillId="0" borderId="0" xfId="0" applyNumberFormat="1" applyFont="1">
      <alignment vertical="top"/>
    </xf>
    <xf numFmtId="49" fontId="14" fillId="0" borderId="0" xfId="0" applyNumberFormat="1" applyFont="1">
      <alignment vertical="top"/>
    </xf>
    <xf numFmtId="49" fontId="5" fillId="0" borderId="0" xfId="0" applyNumberFormat="1" applyFont="1">
      <alignment vertical="top"/>
    </xf>
    <xf numFmtId="49" fontId="19" fillId="0" borderId="0" xfId="0" applyNumberFormat="1" applyFont="1" applyAlignment="1">
      <alignment horizontal="center" vertical="center"/>
    </xf>
    <xf numFmtId="49" fontId="5" fillId="0" borderId="0" xfId="0" applyNumberFormat="1" applyFont="1">
      <alignment vertical="top"/>
    </xf>
    <xf numFmtId="0" fontId="5" fillId="8" borderId="0" xfId="0" applyNumberFormat="1" applyFont="1" applyFill="1" applyAlignment="1"/>
    <xf numFmtId="0" fontId="25" fillId="8" borderId="0" xfId="0" applyNumberFormat="1" applyFont="1" applyFill="1" applyAlignment="1">
      <alignment horizontal="center" vertical="center" wrapText="1"/>
    </xf>
    <xf numFmtId="0" fontId="14" fillId="8" borderId="0" xfId="0" applyNumberFormat="1" applyFont="1" applyFill="1" applyAlignment="1"/>
    <xf numFmtId="49" fontId="5" fillId="0" borderId="0" xfId="0" applyNumberFormat="1" applyFont="1">
      <alignment vertical="top"/>
    </xf>
    <xf numFmtId="49" fontId="19"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26" fillId="10" borderId="6" xfId="0" applyNumberFormat="1" applyFont="1" applyFill="1" applyBorder="1" applyAlignment="1">
      <alignment horizontal="center" vertical="top"/>
    </xf>
    <xf numFmtId="49" fontId="22" fillId="10" borderId="6" xfId="0" applyNumberFormat="1" applyFont="1" applyFill="1" applyBorder="1" applyAlignment="1">
      <alignment horizontal="left" vertical="center"/>
    </xf>
    <xf numFmtId="0" fontId="23" fillId="0" borderId="0" xfId="0" applyNumberFormat="1" applyFont="1" applyAlignment="1">
      <alignment vertical="center"/>
    </xf>
    <xf numFmtId="0" fontId="0"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19" fillId="8" borderId="0" xfId="0" applyNumberFormat="1" applyFont="1" applyFill="1" applyAlignment="1">
      <alignment horizontal="center" vertical="center" wrapText="1"/>
    </xf>
    <xf numFmtId="49" fontId="27" fillId="0" borderId="0" xfId="0" applyNumberFormat="1" applyFont="1" applyAlignment="1">
      <alignment horizontal="right" vertical="top"/>
    </xf>
    <xf numFmtId="49" fontId="27" fillId="0" borderId="0" xfId="0" applyNumberFormat="1" applyFont="1">
      <alignment vertical="top"/>
    </xf>
    <xf numFmtId="0" fontId="5" fillId="0" borderId="0" xfId="0" applyNumberFormat="1" applyFont="1" applyAlignment="1">
      <alignment horizontal="center" vertical="center" wrapText="1"/>
    </xf>
    <xf numFmtId="49" fontId="5" fillId="0" borderId="0" xfId="0" applyNumberFormat="1" applyFont="1">
      <alignment vertical="top"/>
    </xf>
    <xf numFmtId="0" fontId="0" fillId="0" borderId="0" xfId="0" applyNumberFormat="1" applyFont="1" applyAlignment="1">
      <alignment vertical="center"/>
    </xf>
    <xf numFmtId="0" fontId="28" fillId="0" borderId="0" xfId="0" applyNumberFormat="1" applyFont="1" applyAlignment="1">
      <alignment vertical="center" wrapText="1"/>
    </xf>
    <xf numFmtId="49" fontId="5" fillId="0" borderId="7" xfId="0" applyNumberFormat="1" applyFont="1" applyBorder="1">
      <alignment vertical="top"/>
    </xf>
    <xf numFmtId="49" fontId="29" fillId="0" borderId="0" xfId="0" applyNumberFormat="1" applyFont="1">
      <alignment vertical="top"/>
    </xf>
    <xf numFmtId="0" fontId="29" fillId="0" borderId="0" xfId="0" applyNumberFormat="1" applyFont="1" applyAlignment="1">
      <alignment vertical="center" wrapText="1"/>
    </xf>
    <xf numFmtId="49" fontId="0" fillId="8" borderId="3" xfId="0" applyNumberFormat="1" applyFont="1" applyFill="1" applyBorder="1" applyAlignment="1">
      <alignment horizontal="center" vertical="center" wrapText="1"/>
    </xf>
    <xf numFmtId="0" fontId="14" fillId="0" borderId="0" xfId="0" applyNumberFormat="1" applyFont="1" applyAlignment="1">
      <alignment horizontal="left" vertical="center" wrapText="1"/>
    </xf>
    <xf numFmtId="49" fontId="5" fillId="0" borderId="3" xfId="0" applyNumberFormat="1" applyFont="1" applyBorder="1" applyAlignment="1">
      <alignment horizontal="left" vertical="center" wrapText="1"/>
    </xf>
    <xf numFmtId="0" fontId="5" fillId="8" borderId="8" xfId="0" applyNumberFormat="1" applyFont="1" applyFill="1" applyBorder="1" applyAlignment="1">
      <alignment horizontal="center" vertical="center"/>
    </xf>
    <xf numFmtId="0" fontId="5" fillId="0" borderId="3" xfId="0" applyNumberFormat="1" applyFont="1" applyBorder="1" applyAlignment="1">
      <alignment vertical="center" wrapText="1"/>
    </xf>
    <xf numFmtId="0" fontId="30" fillId="0" borderId="0" xfId="0" applyNumberFormat="1" applyFont="1" applyAlignment="1">
      <alignment vertical="center" wrapText="1"/>
    </xf>
    <xf numFmtId="0" fontId="30" fillId="0" borderId="0" xfId="0" applyNumberFormat="1" applyFont="1" applyAlignment="1">
      <alignment vertical="center"/>
    </xf>
    <xf numFmtId="0" fontId="31" fillId="0" borderId="0" xfId="0" applyNumberFormat="1" applyFont="1" applyAlignment="1">
      <alignment vertical="center"/>
    </xf>
    <xf numFmtId="0" fontId="30" fillId="0" borderId="0" xfId="0" applyNumberFormat="1" applyFont="1" applyAlignment="1">
      <alignment vertical="center"/>
    </xf>
    <xf numFmtId="0" fontId="30" fillId="0" borderId="0" xfId="0" applyNumberFormat="1" applyFont="1" applyAlignment="1">
      <alignment vertical="center"/>
    </xf>
    <xf numFmtId="0" fontId="0" fillId="0" borderId="0" xfId="0" applyNumberFormat="1" applyFont="1" applyAlignment="1">
      <alignment vertical="top" wrapText="1"/>
    </xf>
    <xf numFmtId="49" fontId="5" fillId="0" borderId="3" xfId="0" applyNumberFormat="1" applyFont="1" applyBorder="1" applyAlignment="1">
      <alignment horizontal="center" vertical="center" wrapText="1"/>
    </xf>
    <xf numFmtId="0" fontId="28" fillId="0" borderId="9" xfId="0" applyNumberFormat="1" applyFont="1" applyBorder="1" applyAlignment="1">
      <alignment vertical="top" wrapText="1"/>
    </xf>
    <xf numFmtId="49" fontId="0" fillId="0" borderId="3" xfId="0" applyNumberFormat="1" applyFont="1" applyBorder="1" applyAlignment="1">
      <alignment vertical="top" wrapText="1"/>
    </xf>
    <xf numFmtId="0" fontId="0" fillId="0" borderId="3" xfId="0" applyNumberFormat="1" applyFont="1" applyBorder="1" applyAlignment="1">
      <alignment vertical="top" wrapText="1"/>
    </xf>
    <xf numFmtId="0" fontId="0" fillId="0" borderId="0" xfId="0" applyNumberFormat="1" applyFont="1" applyAlignment="1"/>
    <xf numFmtId="0" fontId="19" fillId="0" borderId="0" xfId="0" applyNumberFormat="1" applyFont="1" applyAlignment="1">
      <alignment horizontal="center" vertical="center" wrapText="1"/>
    </xf>
    <xf numFmtId="0" fontId="19"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4" fontId="5" fillId="0" borderId="0" xfId="0" applyNumberFormat="1" applyFont="1" applyAlignment="1">
      <alignment horizontal="right" vertical="center" wrapText="1"/>
    </xf>
    <xf numFmtId="0" fontId="5" fillId="0" borderId="0" xfId="0" applyNumberFormat="1" applyFont="1" applyAlignment="1">
      <alignment horizontal="left" vertical="center" wrapText="1" indent="1"/>
    </xf>
    <xf numFmtId="49" fontId="5" fillId="0" borderId="0" xfId="0" applyNumberFormat="1" applyFont="1">
      <alignment vertical="top"/>
    </xf>
    <xf numFmtId="4" fontId="5" fillId="0" borderId="0" xfId="0" applyNumberFormat="1" applyFont="1" applyAlignment="1">
      <alignment horizontal="center" vertical="center" wrapText="1"/>
    </xf>
    <xf numFmtId="0" fontId="29" fillId="0" borderId="0" xfId="0" applyNumberFormat="1" applyFont="1" applyAlignment="1">
      <alignment vertical="center"/>
    </xf>
    <xf numFmtId="164" fontId="5" fillId="0" borderId="3" xfId="0" applyNumberFormat="1" applyFont="1" applyBorder="1" applyAlignment="1">
      <alignment horizontal="center" vertical="center" wrapText="1"/>
    </xf>
    <xf numFmtId="49" fontId="29" fillId="10" borderId="10" xfId="0" applyNumberFormat="1" applyFont="1" applyFill="1" applyBorder="1" applyAlignment="1">
      <alignment horizontal="left" vertical="center" wrapText="1"/>
    </xf>
    <xf numFmtId="49" fontId="0" fillId="10" borderId="6" xfId="0" applyNumberFormat="1" applyFont="1" applyFill="1" applyBorder="1" applyAlignment="1">
      <alignment horizontal="left" vertical="center"/>
    </xf>
    <xf numFmtId="49" fontId="29" fillId="10" borderId="11" xfId="0" applyNumberFormat="1" applyFont="1" applyFill="1" applyBorder="1" applyAlignment="1">
      <alignment horizontal="left" vertical="center" wrapText="1"/>
    </xf>
    <xf numFmtId="0" fontId="18" fillId="0" borderId="0" xfId="0" applyNumberFormat="1" applyFont="1" applyAlignment="1">
      <alignment horizontal="center" vertical="center" wrapText="1"/>
    </xf>
    <xf numFmtId="49" fontId="32" fillId="10" borderId="6" xfId="0" applyNumberFormat="1" applyFont="1" applyFill="1" applyBorder="1" applyAlignment="1">
      <alignment horizontal="right" vertical="center" wrapText="1"/>
    </xf>
    <xf numFmtId="49" fontId="5" fillId="10" borderId="6" xfId="0" applyNumberFormat="1" applyFont="1" applyFill="1" applyBorder="1" applyAlignment="1">
      <alignment horizontal="right" vertical="center" wrapText="1"/>
    </xf>
    <xf numFmtId="49" fontId="5" fillId="10" borderId="4" xfId="0" applyNumberFormat="1" applyFont="1" applyFill="1" applyBorder="1" applyAlignment="1">
      <alignment horizontal="right" vertical="center" wrapText="1"/>
    </xf>
    <xf numFmtId="0" fontId="5" fillId="0" borderId="12" xfId="0" applyNumberFormat="1" applyFont="1" applyBorder="1" applyAlignment="1">
      <alignment vertical="center" wrapText="1"/>
    </xf>
    <xf numFmtId="0" fontId="27" fillId="0" borderId="0" xfId="0" applyNumberFormat="1" applyFont="1" applyAlignment="1">
      <alignment vertical="center" wrapText="1"/>
    </xf>
    <xf numFmtId="0" fontId="33" fillId="0" borderId="0" xfId="0" applyNumberFormat="1" applyFont="1" applyAlignment="1">
      <alignment horizontal="center" vertical="center" wrapText="1"/>
    </xf>
    <xf numFmtId="49" fontId="0" fillId="8" borderId="0" xfId="0" applyNumberFormat="1" applyFont="1" applyFill="1">
      <alignment vertical="top"/>
    </xf>
    <xf numFmtId="49" fontId="34" fillId="11" borderId="0" xfId="0" applyNumberFormat="1" applyFont="1" applyFill="1">
      <alignment vertical="top"/>
    </xf>
    <xf numFmtId="49" fontId="34" fillId="0" borderId="0" xfId="0" applyNumberFormat="1" applyFont="1">
      <alignment vertical="top"/>
    </xf>
    <xf numFmtId="0" fontId="29" fillId="0" borderId="0" xfId="0" applyNumberFormat="1" applyFont="1" applyAlignment="1">
      <alignment vertical="center"/>
    </xf>
    <xf numFmtId="49" fontId="0" fillId="10" borderId="6" xfId="0" applyNumberFormat="1" applyFont="1" applyFill="1" applyBorder="1" applyAlignment="1">
      <alignment horizontal="right" vertical="center" wrapText="1"/>
    </xf>
    <xf numFmtId="49" fontId="0" fillId="0" borderId="0" xfId="0" applyNumberFormat="1" applyFont="1">
      <alignment vertical="top"/>
    </xf>
    <xf numFmtId="0" fontId="32" fillId="0" borderId="2" xfId="0" applyNumberFormat="1" applyFont="1" applyBorder="1" applyAlignment="1">
      <alignment vertical="center" wrapText="1"/>
    </xf>
    <xf numFmtId="0" fontId="28" fillId="0" borderId="0" xfId="0" applyNumberFormat="1" applyFont="1" applyAlignment="1">
      <alignment vertical="top" wrapText="1"/>
    </xf>
    <xf numFmtId="0" fontId="5" fillId="0" borderId="2" xfId="0" applyNumberFormat="1" applyFont="1" applyBorder="1" applyAlignment="1">
      <alignment vertical="center" wrapText="1"/>
    </xf>
    <xf numFmtId="49" fontId="5" fillId="0" borderId="0" xfId="0" applyNumberFormat="1" applyFont="1">
      <alignment vertical="top"/>
    </xf>
    <xf numFmtId="0" fontId="5" fillId="8" borderId="0" xfId="0" applyNumberFormat="1" applyFont="1" applyFill="1" applyAlignment="1">
      <alignment horizontal="right" vertical="center"/>
    </xf>
    <xf numFmtId="0" fontId="0" fillId="0" borderId="3" xfId="0" applyNumberFormat="1" applyFont="1" applyBorder="1" applyAlignment="1">
      <alignment horizontal="left" vertical="center" wrapText="1" indent="1"/>
    </xf>
    <xf numFmtId="0" fontId="0" fillId="12" borderId="3" xfId="0" applyNumberFormat="1" applyFont="1" applyFill="1" applyBorder="1" applyAlignment="1" applyProtection="1">
      <alignment horizontal="left" vertical="center" wrapText="1" indent="2"/>
      <protection locked="0"/>
    </xf>
    <xf numFmtId="49" fontId="30" fillId="0" borderId="0" xfId="0" applyNumberFormat="1" applyFont="1">
      <alignment vertical="top"/>
    </xf>
    <xf numFmtId="0" fontId="0" fillId="0" borderId="3" xfId="0" applyNumberFormat="1" applyFont="1" applyBorder="1" applyAlignment="1">
      <alignment vertical="center" wrapText="1"/>
    </xf>
    <xf numFmtId="0" fontId="0" fillId="0" borderId="3"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indent="1"/>
      <protection locked="0"/>
    </xf>
    <xf numFmtId="49" fontId="22" fillId="10" borderId="6" xfId="0" applyNumberFormat="1" applyFont="1" applyFill="1" applyBorder="1" applyAlignment="1">
      <alignment horizontal="left" vertical="center" indent="3"/>
    </xf>
    <xf numFmtId="49" fontId="26" fillId="10" borderId="4" xfId="0" applyNumberFormat="1" applyFont="1" applyFill="1" applyBorder="1" applyAlignment="1">
      <alignment horizontal="center" vertical="top"/>
    </xf>
    <xf numFmtId="0" fontId="28" fillId="0" borderId="0" xfId="0" applyNumberFormat="1" applyFont="1" applyAlignment="1">
      <alignment horizontal="right" vertical="top" wrapText="1"/>
    </xf>
    <xf numFmtId="49" fontId="22" fillId="10" borderId="6" xfId="0" applyNumberFormat="1" applyFont="1" applyFill="1" applyBorder="1" applyAlignment="1">
      <alignment horizontal="left" vertical="center" indent="1"/>
    </xf>
    <xf numFmtId="49" fontId="22" fillId="10" borderId="6" xfId="0" applyNumberFormat="1" applyFont="1" applyFill="1" applyBorder="1" applyAlignment="1">
      <alignment horizontal="left" vertical="center" indent="2"/>
    </xf>
    <xf numFmtId="0" fontId="0" fillId="0" borderId="3" xfId="0" applyNumberFormat="1" applyFont="1" applyBorder="1" applyAlignment="1">
      <alignment horizontal="left" vertical="center" wrapText="1" indent="1"/>
    </xf>
    <xf numFmtId="0" fontId="0" fillId="0" borderId="3" xfId="0" applyNumberFormat="1" applyFont="1" applyBorder="1" applyAlignment="1">
      <alignment horizontal="left" vertical="center" wrapText="1" indent="2"/>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vertical="top" wrapText="1"/>
    </xf>
    <xf numFmtId="0" fontId="19" fillId="0" borderId="0" xfId="0" applyNumberFormat="1" applyFont="1" applyAlignment="1">
      <alignment horizontal="center" vertical="center" wrapText="1"/>
    </xf>
    <xf numFmtId="49" fontId="0" fillId="0" borderId="8" xfId="0" applyNumberFormat="1" applyFont="1" applyBorder="1">
      <alignment vertical="top"/>
    </xf>
    <xf numFmtId="0" fontId="30" fillId="0" borderId="0" xfId="0" applyNumberFormat="1" applyFont="1" applyAlignment="1">
      <alignment vertical="center"/>
    </xf>
    <xf numFmtId="0" fontId="13" fillId="0" borderId="0" xfId="0" applyNumberFormat="1" applyFont="1" applyAlignment="1">
      <alignment vertical="center"/>
    </xf>
    <xf numFmtId="49" fontId="35" fillId="12" borderId="3" xfId="0" applyNumberFormat="1" applyFont="1" applyFill="1" applyBorder="1" applyAlignment="1" applyProtection="1">
      <alignment horizontal="left" vertical="center" wrapText="1"/>
      <protection locked="0"/>
    </xf>
    <xf numFmtId="49" fontId="26" fillId="10" borderId="4" xfId="0" applyNumberFormat="1" applyFont="1" applyFill="1" applyBorder="1" applyAlignment="1">
      <alignment horizontal="center" vertical="top"/>
    </xf>
    <xf numFmtId="0" fontId="0" fillId="7" borderId="3" xfId="0" applyNumberFormat="1" applyFont="1" applyFill="1" applyBorder="1" applyAlignment="1">
      <alignment horizontal="left" vertical="center" wrapText="1" indent="1"/>
    </xf>
    <xf numFmtId="49" fontId="5" fillId="12" borderId="3" xfId="0" applyNumberFormat="1" applyFont="1" applyFill="1" applyBorder="1" applyAlignment="1" applyProtection="1">
      <alignment horizontal="left" vertical="center" wrapText="1" indent="1"/>
      <protection locked="0"/>
    </xf>
    <xf numFmtId="49" fontId="5" fillId="7" borderId="3" xfId="0" applyNumberFormat="1" applyFont="1" applyFill="1" applyBorder="1" applyAlignment="1">
      <alignment horizontal="left" vertical="center" wrapText="1" indent="1"/>
    </xf>
    <xf numFmtId="49" fontId="5" fillId="0" borderId="3"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28" fillId="0" borderId="0" xfId="0" applyNumberFormat="1" applyFont="1" applyAlignment="1">
      <alignment vertical="center" wrapText="1"/>
    </xf>
    <xf numFmtId="0" fontId="30"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49" fontId="18" fillId="0" borderId="6" xfId="0" applyNumberFormat="1" applyFont="1" applyBorder="1" applyAlignment="1">
      <alignment horizontal="center" vertical="center" wrapText="1"/>
    </xf>
    <xf numFmtId="0" fontId="36" fillId="0" borderId="0" xfId="0" applyNumberFormat="1" applyFont="1" applyAlignment="1">
      <alignment vertical="center"/>
    </xf>
    <xf numFmtId="0" fontId="37" fillId="0" borderId="0" xfId="0" applyNumberFormat="1" applyFont="1" applyAlignment="1">
      <alignment vertical="center"/>
    </xf>
    <xf numFmtId="0" fontId="30" fillId="0" borderId="0" xfId="0" applyNumberFormat="1" applyFont="1" applyAlignment="1">
      <alignment vertical="center"/>
    </xf>
    <xf numFmtId="0" fontId="30" fillId="0" borderId="0" xfId="0" applyNumberFormat="1" applyFont="1" applyAlignment="1">
      <alignment horizontal="left" vertical="center" wrapText="1" indent="1"/>
    </xf>
    <xf numFmtId="0" fontId="29" fillId="0" borderId="0" xfId="0" applyNumberFormat="1" applyFont="1" applyAlignment="1">
      <alignment horizontal="left" vertical="center" wrapText="1" indent="1"/>
    </xf>
    <xf numFmtId="0" fontId="38" fillId="0" borderId="0" xfId="0" applyNumberFormat="1" applyFont="1" applyAlignment="1">
      <alignment horizontal="left" vertical="center" wrapText="1" indent="1"/>
    </xf>
    <xf numFmtId="0" fontId="39" fillId="0" borderId="0" xfId="0" applyNumberFormat="1" applyFont="1" applyAlignment="1">
      <alignment horizontal="left" vertical="center" indent="1"/>
    </xf>
    <xf numFmtId="0" fontId="38" fillId="0" borderId="0" xfId="0" applyNumberFormat="1" applyFont="1" applyAlignment="1">
      <alignment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42" fillId="8" borderId="0" xfId="0" applyNumberFormat="1" applyFont="1" applyFill="1" applyAlignment="1">
      <alignment horizontal="right" vertical="center" wrapText="1" indent="1"/>
    </xf>
    <xf numFmtId="0" fontId="44" fillId="8" borderId="0" xfId="0" applyNumberFormat="1" applyFont="1" applyFill="1" applyAlignment="1">
      <alignment horizontal="center" vertical="center" wrapText="1"/>
    </xf>
    <xf numFmtId="0" fontId="40" fillId="8" borderId="0" xfId="0" applyNumberFormat="1" applyFont="1" applyFill="1" applyAlignment="1">
      <alignment horizontal="center" vertical="center" wrapText="1"/>
    </xf>
    <xf numFmtId="0" fontId="42" fillId="8" borderId="0" xfId="0" applyNumberFormat="1" applyFont="1" applyFill="1" applyAlignment="1">
      <alignment horizontal="left" vertical="center" wrapText="1" indent="1"/>
    </xf>
    <xf numFmtId="0" fontId="45" fillId="0" borderId="0" xfId="0" applyNumberFormat="1" applyFont="1" applyAlignment="1">
      <alignment horizontal="left" vertical="center" wrapText="1"/>
    </xf>
    <xf numFmtId="0" fontId="45" fillId="0" borderId="0" xfId="0" applyNumberFormat="1" applyFont="1" applyAlignment="1">
      <alignment vertical="center" wrapText="1"/>
    </xf>
    <xf numFmtId="0" fontId="42" fillId="0" borderId="0" xfId="0" applyNumberFormat="1" applyFont="1" applyAlignment="1">
      <alignment vertical="center" wrapText="1"/>
    </xf>
    <xf numFmtId="0" fontId="42" fillId="0" borderId="0" xfId="0" applyNumberFormat="1" applyFont="1" applyAlignment="1">
      <alignment horizontal="right" vertical="center"/>
    </xf>
    <xf numFmtId="49" fontId="5" fillId="0" borderId="0" xfId="0" applyNumberFormat="1" applyFont="1" applyAlignment="1">
      <alignment vertical="center" wrapText="1"/>
    </xf>
    <xf numFmtId="0" fontId="0" fillId="0" borderId="0" xfId="0" applyNumberFormat="1" applyFont="1" applyAlignment="1">
      <alignment horizontal="left" vertical="center" indent="1"/>
    </xf>
    <xf numFmtId="0" fontId="30" fillId="0" borderId="0" xfId="0" applyNumberFormat="1" applyFont="1" applyAlignment="1">
      <alignment horizontal="left" vertical="center" indent="1"/>
    </xf>
    <xf numFmtId="0" fontId="30" fillId="0" borderId="0" xfId="0" applyNumberFormat="1" applyFont="1" applyAlignment="1">
      <alignment horizontal="left" vertical="center" indent="1"/>
    </xf>
    <xf numFmtId="0" fontId="30" fillId="0" borderId="13" xfId="0" applyNumberFormat="1" applyFont="1" applyBorder="1" applyAlignment="1">
      <alignment vertical="center"/>
    </xf>
    <xf numFmtId="0" fontId="5"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xf>
    <xf numFmtId="49" fontId="0" fillId="0" borderId="3" xfId="0" applyNumberFormat="1" applyFont="1" applyBorder="1" applyAlignment="1">
      <alignment horizontal="left" vertical="center"/>
    </xf>
    <xf numFmtId="49" fontId="5" fillId="0" borderId="0" xfId="0" applyNumberFormat="1" applyFont="1">
      <alignment vertical="top"/>
    </xf>
    <xf numFmtId="0" fontId="5" fillId="0" borderId="0" xfId="0" applyNumberFormat="1" applyFont="1" applyAlignment="1">
      <alignment horizontal="left" vertical="center" wrapText="1" indent="2"/>
    </xf>
    <xf numFmtId="0" fontId="5" fillId="0" borderId="3" xfId="0" applyNumberFormat="1" applyFont="1" applyBorder="1" applyAlignment="1">
      <alignment vertical="top" wrapText="1"/>
    </xf>
    <xf numFmtId="0" fontId="0" fillId="12" borderId="3" xfId="0" applyNumberFormat="1" applyFont="1" applyFill="1" applyBorder="1" applyAlignment="1" applyProtection="1">
      <alignment horizontal="left" vertical="center" wrapText="1"/>
      <protection locked="0"/>
    </xf>
    <xf numFmtId="0" fontId="5" fillId="0" borderId="3" xfId="0" applyNumberFormat="1" applyFont="1" applyBorder="1" applyAlignment="1">
      <alignment horizontal="left" vertical="top"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32" fillId="10" borderId="5" xfId="0" applyNumberFormat="1" applyFont="1" applyFill="1" applyBorder="1" applyAlignment="1">
      <alignment horizontal="center" vertical="center"/>
    </xf>
    <xf numFmtId="49" fontId="22" fillId="10" borderId="4" xfId="0" applyNumberFormat="1" applyFont="1" applyFill="1" applyBorder="1" applyAlignment="1">
      <alignment horizontal="left" vertical="center"/>
    </xf>
    <xf numFmtId="0" fontId="5" fillId="0" borderId="0" xfId="0" applyNumberFormat="1" applyFont="1" applyAlignment="1"/>
    <xf numFmtId="0" fontId="46" fillId="0" borderId="0" xfId="0" applyNumberFormat="1" applyFont="1" applyAlignment="1">
      <alignment vertical="center" wrapText="1"/>
    </xf>
    <xf numFmtId="0" fontId="46" fillId="0" borderId="0" xfId="0" applyNumberFormat="1" applyFont="1" applyAlignment="1">
      <alignment vertical="center" wrapText="1"/>
    </xf>
    <xf numFmtId="0" fontId="46" fillId="0" borderId="0" xfId="0" applyNumberFormat="1" applyFont="1" applyAlignment="1"/>
    <xf numFmtId="49" fontId="47" fillId="0" borderId="0" xfId="0" applyNumberFormat="1" applyFont="1">
      <alignment vertical="top"/>
    </xf>
    <xf numFmtId="49" fontId="48" fillId="0" borderId="0" xfId="0" applyNumberFormat="1" applyFont="1">
      <alignment vertical="top"/>
    </xf>
    <xf numFmtId="0" fontId="5"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30" fillId="0" borderId="0" xfId="0" applyNumberFormat="1" applyFont="1">
      <alignment vertical="top"/>
    </xf>
    <xf numFmtId="49" fontId="30" fillId="0" borderId="0" xfId="0" applyNumberFormat="1" applyFont="1">
      <alignment vertical="top"/>
    </xf>
    <xf numFmtId="0" fontId="0" fillId="0" borderId="0" xfId="0" applyNumberFormat="1" applyFont="1">
      <alignment vertical="top"/>
    </xf>
    <xf numFmtId="49" fontId="5" fillId="0" borderId="3" xfId="0" applyNumberFormat="1" applyFont="1" applyBorder="1" applyAlignment="1">
      <alignment horizontal="right" vertical="center"/>
    </xf>
    <xf numFmtId="0" fontId="49" fillId="0" borderId="0" xfId="0" applyNumberFormat="1" applyFont="1" applyAlignment="1">
      <alignment vertical="center"/>
    </xf>
    <xf numFmtId="0" fontId="30" fillId="0" borderId="0" xfId="0" applyNumberFormat="1" applyFont="1" applyAlignment="1">
      <alignment vertical="center"/>
    </xf>
    <xf numFmtId="0" fontId="30" fillId="0" borderId="0" xfId="0" applyNumberFormat="1" applyFont="1" applyAlignment="1">
      <alignment vertical="center" wrapText="1"/>
    </xf>
    <xf numFmtId="0" fontId="5" fillId="0" borderId="3" xfId="0" applyNumberFormat="1" applyFont="1" applyBorder="1" applyAlignment="1">
      <alignment horizontal="left" vertical="center" wrapText="1"/>
    </xf>
    <xf numFmtId="0" fontId="50" fillId="0" borderId="0" xfId="0" applyNumberFormat="1" applyFont="1" applyAlignment="1">
      <alignment vertical="center"/>
    </xf>
    <xf numFmtId="49" fontId="18" fillId="8" borderId="0" xfId="0" applyNumberFormat="1" applyFont="1" applyFill="1" applyAlignment="1">
      <alignment horizontal="center" vertical="center" wrapText="1"/>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4"/>
    </xf>
    <xf numFmtId="0" fontId="5" fillId="8" borderId="3" xfId="0" applyNumberFormat="1" applyFont="1" applyFill="1" applyBorder="1" applyAlignment="1">
      <alignment horizontal="left" vertical="center" wrapText="1" indent="5"/>
    </xf>
    <xf numFmtId="49" fontId="22" fillId="10" borderId="6" xfId="0" applyNumberFormat="1" applyFont="1" applyFill="1" applyBorder="1" applyAlignment="1">
      <alignment horizontal="left" vertical="center" indent="5"/>
    </xf>
    <xf numFmtId="49" fontId="22" fillId="10" borderId="6" xfId="0" applyNumberFormat="1" applyFont="1" applyFill="1" applyBorder="1" applyAlignment="1">
      <alignment horizontal="left" vertical="center" indent="6"/>
    </xf>
    <xf numFmtId="0" fontId="5" fillId="0" borderId="3" xfId="0" applyNumberFormat="1" applyFont="1" applyBorder="1" applyAlignment="1">
      <alignment vertical="center" wrapText="1"/>
    </xf>
    <xf numFmtId="0" fontId="28" fillId="0" borderId="0" xfId="0" applyNumberFormat="1" applyFont="1" applyAlignment="1">
      <alignment vertical="center" wrapText="1"/>
    </xf>
    <xf numFmtId="0" fontId="51" fillId="8" borderId="0" xfId="0" applyNumberFormat="1" applyFont="1" applyFill="1" applyAlignment="1">
      <alignment vertical="center" wrapText="1"/>
    </xf>
    <xf numFmtId="49" fontId="5" fillId="0" borderId="3" xfId="0" applyNumberFormat="1" applyFont="1" applyBorder="1" applyAlignment="1">
      <alignment horizontal="center" vertical="center" wrapText="1"/>
    </xf>
    <xf numFmtId="49" fontId="0" fillId="0" borderId="0" xfId="0" applyNumberFormat="1" applyFont="1">
      <alignment vertical="top"/>
    </xf>
    <xf numFmtId="49" fontId="22" fillId="10" borderId="5" xfId="0" applyNumberFormat="1" applyFont="1" applyFill="1" applyBorder="1" applyAlignment="1">
      <alignment horizontal="left" vertical="center" indent="1"/>
    </xf>
    <xf numFmtId="0" fontId="0" fillId="8" borderId="3" xfId="0" applyNumberFormat="1" applyFont="1" applyFill="1" applyBorder="1" applyAlignment="1">
      <alignment horizontal="right" vertical="center" wrapText="1" indent="1"/>
    </xf>
    <xf numFmtId="49" fontId="0" fillId="0" borderId="3" xfId="0" applyNumberFormat="1" applyFont="1" applyBorder="1" applyAlignment="1">
      <alignment horizontal="left" vertical="center"/>
    </xf>
    <xf numFmtId="0" fontId="5" fillId="0" borderId="3" xfId="0" applyNumberFormat="1" applyFont="1" applyBorder="1" applyAlignment="1">
      <alignment vertical="top" wrapText="1"/>
    </xf>
    <xf numFmtId="0" fontId="5" fillId="0" borderId="3" xfId="0" applyNumberFormat="1" applyFont="1" applyBorder="1" applyAlignment="1">
      <alignment vertical="center" wrapText="1"/>
    </xf>
    <xf numFmtId="0" fontId="49" fillId="0" borderId="0" xfId="0" applyNumberFormat="1" applyFont="1" applyAlignment="1">
      <alignment vertical="center"/>
    </xf>
    <xf numFmtId="0" fontId="5" fillId="0" borderId="3" xfId="0" applyNumberFormat="1" applyFont="1" applyBorder="1" applyAlignment="1">
      <alignment horizontal="left" vertical="center" wrapText="1" indent="6"/>
    </xf>
    <xf numFmtId="0" fontId="5" fillId="0" borderId="8" xfId="0" applyNumberFormat="1" applyFont="1" applyBorder="1" applyAlignment="1">
      <alignment vertical="center" wrapText="1"/>
    </xf>
    <xf numFmtId="0" fontId="5" fillId="0" borderId="14" xfId="0" applyNumberFormat="1" applyFont="1" applyBorder="1" applyAlignment="1">
      <alignment vertical="center" wrapText="1"/>
    </xf>
    <xf numFmtId="49" fontId="0" fillId="10" borderId="4" xfId="0" applyNumberFormat="1" applyFont="1" applyFill="1" applyBorder="1" applyAlignment="1">
      <alignment horizontal="center" vertical="center" wrapText="1"/>
    </xf>
    <xf numFmtId="0" fontId="0" fillId="0" borderId="5" xfId="0" applyNumberFormat="1" applyFont="1" applyBorder="1" applyAlignment="1">
      <alignment vertical="center"/>
    </xf>
    <xf numFmtId="0" fontId="0" fillId="8" borderId="5" xfId="0" applyNumberFormat="1" applyFont="1" applyFill="1" applyBorder="1" applyAlignment="1">
      <alignment horizontal="right" vertical="center" wrapText="1" indent="1"/>
    </xf>
    <xf numFmtId="49" fontId="14" fillId="0" borderId="0" xfId="0" applyNumberFormat="1" applyFont="1">
      <alignment vertical="top"/>
    </xf>
    <xf numFmtId="0" fontId="21" fillId="8" borderId="0" xfId="0" applyNumberFormat="1" applyFont="1" applyFill="1" applyAlignment="1">
      <alignment vertical="center" wrapText="1"/>
    </xf>
    <xf numFmtId="0" fontId="5" fillId="8" borderId="3" xfId="0" applyNumberFormat="1" applyFont="1" applyFill="1" applyBorder="1" applyAlignment="1">
      <alignment horizontal="left" vertical="center" wrapText="1" indent="1"/>
    </xf>
    <xf numFmtId="0" fontId="5" fillId="8" borderId="3" xfId="0" applyNumberFormat="1" applyFont="1" applyFill="1" applyBorder="1" applyAlignment="1">
      <alignment horizontal="left" vertical="center" wrapText="1" indent="2"/>
    </xf>
    <xf numFmtId="0" fontId="5" fillId="8" borderId="3" xfId="0" applyNumberFormat="1" applyFont="1" applyFill="1" applyBorder="1" applyAlignment="1">
      <alignment horizontal="left" vertical="center" wrapText="1" indent="3"/>
    </xf>
    <xf numFmtId="0" fontId="5" fillId="0" borderId="3" xfId="0" applyNumberFormat="1" applyFont="1" applyBorder="1" applyAlignment="1">
      <alignment horizontal="left" vertical="center" wrapText="1" indent="4"/>
    </xf>
    <xf numFmtId="49" fontId="22" fillId="10" borderId="5" xfId="0" applyNumberFormat="1" applyFont="1" applyFill="1" applyBorder="1" applyAlignment="1">
      <alignment vertical="center" wrapText="1"/>
    </xf>
    <xf numFmtId="49" fontId="22" fillId="10" borderId="6" xfId="0" applyNumberFormat="1" applyFont="1" applyFill="1" applyBorder="1" applyAlignment="1">
      <alignment vertical="center"/>
    </xf>
    <xf numFmtId="49" fontId="22" fillId="10" borderId="6" xfId="0" applyNumberFormat="1" applyFont="1" applyFill="1" applyBorder="1" applyAlignment="1">
      <alignment vertical="center" wrapText="1"/>
    </xf>
    <xf numFmtId="0" fontId="5" fillId="0" borderId="0" xfId="0" applyNumberFormat="1" applyFont="1" applyAlignment="1">
      <alignment vertical="top" wrapText="1"/>
    </xf>
    <xf numFmtId="49" fontId="22" fillId="10" borderId="5" xfId="0" applyNumberFormat="1" applyFont="1" applyFill="1" applyBorder="1" applyAlignment="1">
      <alignment horizontal="left" vertical="center"/>
    </xf>
    <xf numFmtId="0" fontId="22" fillId="10" borderId="5"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4" xfId="0" applyNumberFormat="1" applyFont="1" applyFill="1" applyBorder="1" applyAlignment="1">
      <alignment horizontal="left" vertical="center"/>
    </xf>
    <xf numFmtId="0" fontId="0" fillId="0" borderId="0" xfId="0" applyNumberFormat="1" applyFont="1" applyAlignment="1">
      <alignment vertical="center"/>
    </xf>
    <xf numFmtId="49" fontId="0" fillId="0" borderId="0" xfId="0" applyNumberFormat="1" applyFont="1" applyAlignment="1">
      <alignment vertical="center"/>
    </xf>
    <xf numFmtId="0" fontId="32" fillId="8" borderId="0" xfId="0" applyNumberFormat="1" applyFont="1" applyFill="1" applyAlignment="1">
      <alignment horizontal="center" vertical="center" wrapText="1"/>
    </xf>
    <xf numFmtId="0" fontId="5" fillId="0" borderId="0" xfId="0" applyNumberFormat="1" applyFont="1" applyAlignment="1">
      <alignment vertical="center" wrapText="1"/>
    </xf>
    <xf numFmtId="49" fontId="5" fillId="10" borderId="4" xfId="0" applyNumberFormat="1" applyFont="1" applyFill="1" applyBorder="1" applyAlignment="1">
      <alignment horizontal="center" vertical="center" wrapText="1"/>
    </xf>
    <xf numFmtId="4" fontId="5" fillId="0" borderId="3" xfId="0" applyNumberFormat="1" applyFont="1" applyBorder="1" applyAlignment="1">
      <alignment horizontal="righ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4" fontId="30" fillId="0" borderId="3" xfId="0" applyNumberFormat="1" applyFont="1" applyBorder="1" applyAlignment="1">
      <alignment horizontal="center" vertical="center" wrapText="1"/>
    </xf>
    <xf numFmtId="0" fontId="0" fillId="0" borderId="0" xfId="0" applyNumberFormat="1" applyFont="1" applyAlignment="1">
      <alignment vertical="center"/>
    </xf>
    <xf numFmtId="0" fontId="0" fillId="0" borderId="3" xfId="0" applyNumberFormat="1" applyFont="1" applyBorder="1" applyAlignment="1">
      <alignment horizontal="left" vertical="center" wrapText="1" indent="1"/>
    </xf>
    <xf numFmtId="49" fontId="52" fillId="0" borderId="5" xfId="0" applyNumberFormat="1" applyFont="1" applyBorder="1" applyAlignment="1">
      <alignment horizontal="left" vertical="center" wrapText="1"/>
    </xf>
    <xf numFmtId="0" fontId="49" fillId="0" borderId="3" xfId="0" applyNumberFormat="1" applyFont="1" applyBorder="1" applyAlignment="1">
      <alignment horizontal="left" vertical="center" wrapText="1" indent="2"/>
    </xf>
    <xf numFmtId="49" fontId="49" fillId="0" borderId="3" xfId="0" applyNumberFormat="1" applyFont="1" applyBorder="1" applyAlignment="1">
      <alignment horizontal="center" vertical="center" wrapText="1"/>
    </xf>
    <xf numFmtId="0" fontId="53" fillId="0" borderId="0" xfId="0" applyNumberFormat="1" applyFont="1" applyAlignment="1">
      <alignment vertical="center" wrapText="1"/>
    </xf>
    <xf numFmtId="0" fontId="5" fillId="0" borderId="0" xfId="0" applyNumberFormat="1" applyFont="1">
      <alignment vertical="top"/>
    </xf>
    <xf numFmtId="0" fontId="5" fillId="0" borderId="0" xfId="0" applyNumberFormat="1" applyFont="1" applyAlignment="1">
      <alignment horizontal="right" vertical="top" wrapText="1"/>
    </xf>
    <xf numFmtId="0" fontId="5" fillId="0" borderId="8" xfId="0" applyNumberFormat="1" applyFont="1" applyBorder="1" applyAlignment="1">
      <alignment vertical="center" wrapText="1"/>
    </xf>
    <xf numFmtId="49" fontId="26" fillId="10" borderId="6" xfId="0" applyNumberFormat="1" applyFont="1" applyFill="1" applyBorder="1" applyAlignment="1">
      <alignment horizontal="center" vertical="top"/>
    </xf>
    <xf numFmtId="0" fontId="5" fillId="0" borderId="14" xfId="0" applyNumberFormat="1" applyFont="1" applyBorder="1" applyAlignment="1">
      <alignment vertical="top" wrapText="1"/>
    </xf>
    <xf numFmtId="0" fontId="0" fillId="0" borderId="0" xfId="0" applyNumberFormat="1" applyFont="1" applyAlignment="1">
      <alignment horizontal="left" vertical="top" wrapText="1"/>
    </xf>
    <xf numFmtId="0" fontId="5" fillId="0" borderId="8" xfId="0" applyNumberFormat="1" applyFont="1" applyBorder="1" applyAlignment="1">
      <alignment vertical="top" wrapText="1"/>
    </xf>
    <xf numFmtId="0" fontId="5" fillId="0" borderId="0" xfId="0" applyNumberFormat="1" applyFont="1" applyAlignment="1">
      <alignment vertical="center" wrapText="1"/>
    </xf>
    <xf numFmtId="49" fontId="5" fillId="0" borderId="0" xfId="0" applyNumberFormat="1" applyFont="1">
      <alignment vertical="top"/>
    </xf>
    <xf numFmtId="0" fontId="21" fillId="0" borderId="0" xfId="0" applyNumberFormat="1" applyFont="1" applyAlignment="1">
      <alignment vertical="center" wrapText="1"/>
    </xf>
    <xf numFmtId="0" fontId="5" fillId="0" borderId="3" xfId="0" applyNumberFormat="1" applyFont="1" applyBorder="1" applyAlignment="1">
      <alignment vertical="center" wrapText="1"/>
    </xf>
    <xf numFmtId="49" fontId="5" fillId="0" borderId="0" xfId="0" applyNumberFormat="1" applyFont="1" applyAlignment="1">
      <alignment horizontal="center" vertical="center" wrapText="1"/>
    </xf>
    <xf numFmtId="0" fontId="5" fillId="10" borderId="5" xfId="0" applyNumberFormat="1" applyFont="1" applyFill="1" applyBorder="1" applyAlignment="1">
      <alignment vertical="center" wrapText="1"/>
    </xf>
    <xf numFmtId="49" fontId="22" fillId="10" borderId="6" xfId="0" applyNumberFormat="1" applyFont="1" applyFill="1" applyBorder="1" applyAlignment="1">
      <alignment horizontal="left" vertical="center" indent="2"/>
    </xf>
    <xf numFmtId="0" fontId="30" fillId="0" borderId="0" xfId="0" applyNumberFormat="1" applyFont="1" applyAlignment="1">
      <alignment vertical="center"/>
    </xf>
    <xf numFmtId="0" fontId="54" fillId="0" borderId="0" xfId="0" applyNumberFormat="1" applyFont="1" applyAlignment="1">
      <alignment vertical="center" wrapText="1"/>
    </xf>
    <xf numFmtId="0" fontId="24" fillId="8" borderId="0" xfId="0" applyNumberFormat="1" applyFont="1" applyFill="1" applyAlignment="1">
      <alignment horizontal="center" vertical="center" wrapText="1"/>
    </xf>
    <xf numFmtId="0" fontId="5" fillId="0" borderId="15" xfId="0" applyNumberFormat="1" applyFont="1" applyBorder="1" applyAlignment="1">
      <alignment vertical="center" wrapText="1"/>
    </xf>
    <xf numFmtId="0" fontId="19" fillId="0" borderId="0" xfId="0" applyNumberFormat="1" applyFont="1" applyAlignment="1">
      <alignment vertical="center" wrapText="1"/>
    </xf>
    <xf numFmtId="49" fontId="5" fillId="0" borderId="15" xfId="0" applyNumberFormat="1" applyFont="1" applyBorder="1">
      <alignment vertical="top"/>
    </xf>
    <xf numFmtId="0" fontId="30" fillId="0" borderId="15" xfId="0" applyNumberFormat="1" applyFont="1" applyBorder="1" applyAlignment="1">
      <alignment horizontal="center" vertical="center" wrapText="1"/>
    </xf>
    <xf numFmtId="0" fontId="30" fillId="0" borderId="15" xfId="0" applyNumberFormat="1" applyFont="1" applyBorder="1" applyAlignment="1">
      <alignment vertical="center" wrapText="1"/>
    </xf>
    <xf numFmtId="49" fontId="14" fillId="0" borderId="0" xfId="0" applyNumberFormat="1" applyFont="1">
      <alignment vertical="top"/>
    </xf>
    <xf numFmtId="49" fontId="0" fillId="0" borderId="15" xfId="0" applyNumberFormat="1" applyFont="1" applyBorder="1">
      <alignment vertical="top"/>
    </xf>
    <xf numFmtId="49" fontId="5" fillId="0" borderId="0" xfId="0" applyNumberFormat="1" applyFont="1">
      <alignment vertical="top"/>
    </xf>
    <xf numFmtId="49" fontId="5" fillId="0" borderId="0" xfId="0" applyNumberFormat="1" applyFont="1" applyAlignment="1">
      <alignment vertical="center" wrapText="1"/>
    </xf>
    <xf numFmtId="0" fontId="14" fillId="0" borderId="0" xfId="0" applyNumberFormat="1" applyFont="1" applyAlignment="1">
      <alignment vertical="center" wrapText="1"/>
    </xf>
    <xf numFmtId="0" fontId="5" fillId="8" borderId="0" xfId="0" applyNumberFormat="1" applyFont="1" applyFill="1" applyAlignment="1">
      <alignment vertical="center" wrapText="1"/>
    </xf>
    <xf numFmtId="49" fontId="5" fillId="0" borderId="0" xfId="0" applyNumberFormat="1" applyFont="1" applyAlignment="1">
      <alignment vertical="center" wrapText="1"/>
    </xf>
    <xf numFmtId="49" fontId="22" fillId="10" borderId="6" xfId="0" applyNumberFormat="1" applyFont="1" applyFill="1" applyBorder="1" applyAlignment="1">
      <alignment horizontal="left" vertical="center" indent="4"/>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30" fillId="0" borderId="0" xfId="0" applyNumberFormat="1" applyFont="1" applyAlignment="1">
      <alignment vertical="center"/>
    </xf>
    <xf numFmtId="0" fontId="5" fillId="0" borderId="0" xfId="0" applyNumberFormat="1" applyFont="1" applyAlignment="1">
      <alignment vertical="top" wrapText="1"/>
    </xf>
    <xf numFmtId="49" fontId="5" fillId="0" borderId="3" xfId="0" applyNumberFormat="1" applyFont="1" applyBorder="1" applyAlignment="1">
      <alignment horizontal="right" vertical="top"/>
    </xf>
    <xf numFmtId="49" fontId="5" fillId="0" borderId="8" xfId="0" applyNumberFormat="1" applyFont="1" applyBorder="1" applyAlignment="1">
      <alignment horizontal="right" vertical="top"/>
    </xf>
    <xf numFmtId="49" fontId="22" fillId="10" borderId="6" xfId="0" applyNumberFormat="1" applyFont="1" applyFill="1" applyBorder="1" applyAlignment="1">
      <alignment horizontal="left" vertical="center" indent="3"/>
    </xf>
    <xf numFmtId="49" fontId="0" fillId="0" borderId="0" xfId="0" applyNumberFormat="1" applyFont="1">
      <alignment vertical="top"/>
    </xf>
    <xf numFmtId="0" fontId="5" fillId="0" borderId="0" xfId="0" applyNumberFormat="1" applyFont="1" applyAlignment="1">
      <alignment vertical="center" wrapText="1"/>
    </xf>
    <xf numFmtId="49" fontId="21" fillId="0" borderId="0" xfId="0" applyNumberFormat="1" applyFont="1">
      <alignment vertical="top"/>
    </xf>
    <xf numFmtId="0" fontId="21" fillId="8" borderId="0" xfId="0" applyNumberFormat="1" applyFont="1" applyFill="1" applyAlignment="1">
      <alignment vertical="center" wrapText="1"/>
    </xf>
    <xf numFmtId="49" fontId="5" fillId="12" borderId="3" xfId="0" applyNumberFormat="1" applyFont="1" applyFill="1" applyBorder="1" applyAlignment="1" applyProtection="1">
      <alignment horizontal="left" vertical="center" wrapText="1"/>
      <protection locked="0"/>
    </xf>
    <xf numFmtId="49" fontId="5" fillId="9" borderId="3" xfId="0" applyNumberFormat="1" applyFont="1" applyFill="1" applyBorder="1" applyAlignment="1" applyProtection="1">
      <alignment horizontal="left" vertical="center" wrapText="1"/>
      <protection locked="0"/>
    </xf>
    <xf numFmtId="49" fontId="30" fillId="0" borderId="0" xfId="0" applyNumberFormat="1" applyFont="1">
      <alignment vertical="top"/>
    </xf>
    <xf numFmtId="49" fontId="30" fillId="0" borderId="0" xfId="0" applyNumberFormat="1" applyFont="1">
      <alignment vertical="top"/>
    </xf>
    <xf numFmtId="49" fontId="5" fillId="12" borderId="3" xfId="0" applyNumberFormat="1" applyFont="1" applyFill="1" applyBorder="1" applyAlignment="1" applyProtection="1">
      <alignment horizontal="left" vertical="center" wrapText="1"/>
      <protection locked="0"/>
    </xf>
    <xf numFmtId="49" fontId="35" fillId="12" borderId="3" xfId="0" applyNumberFormat="1" applyFont="1" applyFill="1" applyBorder="1" applyAlignment="1" applyProtection="1">
      <alignment horizontal="left" vertical="center" wrapText="1"/>
      <protection locked="0"/>
    </xf>
    <xf numFmtId="49" fontId="0" fillId="0" borderId="16" xfId="0" applyNumberFormat="1" applyFont="1" applyBorder="1" applyAlignment="1">
      <alignment horizontal="center" vertical="center"/>
    </xf>
    <xf numFmtId="165" fontId="5" fillId="0" borderId="3" xfId="0" applyNumberFormat="1" applyFont="1" applyBorder="1" applyAlignment="1">
      <alignment horizontal="right" vertical="center" wrapText="1"/>
    </xf>
    <xf numFmtId="49" fontId="35" fillId="12" borderId="5"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center" vertical="center" wrapText="1"/>
    </xf>
    <xf numFmtId="0" fontId="19" fillId="8" borderId="0" xfId="0" applyNumberFormat="1" applyFont="1" applyFill="1" applyAlignment="1">
      <alignment horizontal="center" vertical="center" wrapText="1"/>
    </xf>
    <xf numFmtId="0" fontId="0" fillId="0" borderId="3" xfId="0" applyNumberFormat="1" applyFont="1" applyBorder="1" applyAlignment="1">
      <alignment horizontal="left" vertical="center" wrapText="1"/>
    </xf>
    <xf numFmtId="0" fontId="5" fillId="8" borderId="0" xfId="0" applyNumberFormat="1" applyFont="1" applyFill="1" applyAlignment="1">
      <alignment horizontal="center" vertical="center" wrapText="1"/>
    </xf>
    <xf numFmtId="0" fontId="32" fillId="0" borderId="0" xfId="0" applyNumberFormat="1" applyFont="1" applyAlignment="1">
      <alignment vertical="top" wrapText="1"/>
    </xf>
    <xf numFmtId="0" fontId="5" fillId="8" borderId="17" xfId="0" applyNumberFormat="1" applyFont="1" applyFill="1" applyBorder="1" applyAlignment="1">
      <alignment horizontal="right" vertical="center" wrapText="1" indent="1"/>
    </xf>
    <xf numFmtId="0" fontId="0" fillId="8" borderId="17" xfId="0" applyNumberFormat="1" applyFont="1" applyFill="1" applyBorder="1" applyAlignment="1">
      <alignment horizontal="right" vertical="center" wrapText="1" indent="1"/>
    </xf>
    <xf numFmtId="0" fontId="5" fillId="0" borderId="0" xfId="0" applyNumberFormat="1" applyFont="1" applyAlignment="1">
      <alignment horizontal="left" vertical="center" wrapText="1" indent="4"/>
    </xf>
    <xf numFmtId="0" fontId="5" fillId="8" borderId="0" xfId="0" applyNumberFormat="1" applyFont="1" applyFill="1" applyAlignment="1">
      <alignment horizontal="center" vertical="center" wrapText="1"/>
    </xf>
    <xf numFmtId="49" fontId="22" fillId="10" borderId="6" xfId="0" applyNumberFormat="1" applyFont="1" applyFill="1" applyBorder="1" applyAlignment="1">
      <alignment horizontal="left" vertical="center"/>
    </xf>
    <xf numFmtId="0" fontId="5" fillId="0" borderId="10" xfId="0" applyNumberFormat="1" applyFont="1" applyBorder="1" applyAlignment="1">
      <alignment vertical="center" wrapText="1"/>
    </xf>
    <xf numFmtId="0" fontId="5" fillId="0" borderId="0" xfId="0" applyNumberFormat="1" applyFont="1" applyAlignment="1">
      <alignment horizontal="left" vertical="center" wrapText="1" indent="1"/>
    </xf>
    <xf numFmtId="0" fontId="53" fillId="0" borderId="0" xfId="0" applyNumberFormat="1" applyFont="1" applyAlignment="1">
      <alignment vertical="center" wrapText="1"/>
    </xf>
    <xf numFmtId="49" fontId="0" fillId="8" borderId="5" xfId="0" applyNumberFormat="1" applyFont="1" applyFill="1" applyBorder="1" applyAlignment="1">
      <alignment horizontal="center" vertical="center" wrapText="1"/>
    </xf>
    <xf numFmtId="49" fontId="22" fillId="10" borderId="18" xfId="0" applyNumberFormat="1" applyFont="1" applyFill="1" applyBorder="1" applyAlignment="1">
      <alignment horizontal="left" vertical="center" indent="2"/>
    </xf>
    <xf numFmtId="49" fontId="35" fillId="9" borderId="3" xfId="0" applyNumberFormat="1" applyFont="1" applyFill="1" applyBorder="1" applyAlignment="1" applyProtection="1">
      <alignment horizontal="left" vertical="center" wrapText="1"/>
      <protection locked="0"/>
    </xf>
    <xf numFmtId="49" fontId="5" fillId="0" borderId="10" xfId="0" applyNumberFormat="1" applyFont="1" applyBorder="1">
      <alignment vertical="top"/>
    </xf>
    <xf numFmtId="49" fontId="55" fillId="10" borderId="4" xfId="0" applyNumberFormat="1" applyFont="1" applyFill="1" applyBorder="1" applyAlignment="1">
      <alignment horizontal="left" vertical="center" indent="1"/>
    </xf>
    <xf numFmtId="49" fontId="55" fillId="10" borderId="6" xfId="0" applyNumberFormat="1" applyFont="1" applyFill="1" applyBorder="1" applyAlignment="1">
      <alignment horizontal="left" vertical="center" indent="1"/>
    </xf>
    <xf numFmtId="49" fontId="32" fillId="10" borderId="5" xfId="0" applyNumberFormat="1" applyFont="1" applyFill="1" applyBorder="1" applyAlignment="1">
      <alignment horizontal="center" vertical="center"/>
    </xf>
    <xf numFmtId="49" fontId="55" fillId="10" borderId="6" xfId="0" applyNumberFormat="1" applyFont="1" applyFill="1" applyBorder="1" applyAlignment="1">
      <alignment vertical="center"/>
    </xf>
    <xf numFmtId="0" fontId="0" fillId="14" borderId="3" xfId="0" applyNumberFormat="1" applyFont="1" applyFill="1" applyBorder="1" applyAlignment="1">
      <alignment horizontal="right" vertical="center"/>
    </xf>
    <xf numFmtId="0" fontId="15" fillId="0" borderId="0" xfId="0" applyNumberFormat="1" applyFont="1" applyAlignment="1">
      <alignment vertical="center" wrapText="1"/>
    </xf>
    <xf numFmtId="0" fontId="5" fillId="0" borderId="0" xfId="0" applyNumberFormat="1" applyFont="1" applyAlignment="1">
      <alignment vertical="center" wrapText="1"/>
    </xf>
    <xf numFmtId="0" fontId="16" fillId="8" borderId="0" xfId="0" applyNumberFormat="1" applyFont="1" applyFill="1" applyAlignment="1">
      <alignment vertical="center" wrapText="1"/>
    </xf>
    <xf numFmtId="0" fontId="14" fillId="0" borderId="0" xfId="0" applyNumberFormat="1" applyFont="1" applyAlignment="1">
      <alignment horizontal="center" vertical="center" wrapText="1"/>
    </xf>
    <xf numFmtId="0" fontId="0" fillId="0" borderId="0" xfId="0" applyNumberFormat="1" applyFont="1" applyAlignment="1">
      <alignment vertical="center" wrapText="1"/>
    </xf>
    <xf numFmtId="0" fontId="14" fillId="0" borderId="0" xfId="0" applyNumberFormat="1" applyFont="1" applyAlignment="1">
      <alignment horizontal="left" vertical="center" wrapText="1"/>
    </xf>
    <xf numFmtId="0" fontId="0" fillId="0" borderId="3" xfId="0" applyNumberFormat="1" applyFont="1" applyBorder="1" applyAlignment="1">
      <alignment horizontal="center" vertical="center" wrapText="1"/>
    </xf>
    <xf numFmtId="49" fontId="22" fillId="10" borderId="6" xfId="0" applyNumberFormat="1" applyFont="1" applyFill="1" applyBorder="1" applyAlignment="1">
      <alignment horizontal="left" vertical="center" indent="1"/>
    </xf>
    <xf numFmtId="49" fontId="22" fillId="10" borderId="6" xfId="0" applyNumberFormat="1" applyFont="1" applyFill="1" applyBorder="1" applyAlignment="1">
      <alignment horizontal="left" vertical="center"/>
    </xf>
    <xf numFmtId="0" fontId="29" fillId="0" borderId="0" xfId="0" applyNumberFormat="1" applyFont="1" applyAlignment="1">
      <alignment vertical="center" wrapText="1"/>
    </xf>
    <xf numFmtId="0" fontId="0" fillId="0" borderId="0" xfId="0" applyNumberFormat="1" applyFont="1" applyAlignment="1">
      <alignment vertical="center"/>
    </xf>
    <xf numFmtId="49" fontId="30" fillId="0" borderId="0" xfId="0" applyNumberFormat="1" applyFont="1">
      <alignment vertical="top"/>
    </xf>
    <xf numFmtId="0" fontId="56" fillId="0" borderId="0" xfId="0" applyNumberFormat="1" applyFont="1" applyAlignment="1">
      <alignment vertical="center" wrapText="1"/>
    </xf>
    <xf numFmtId="49" fontId="32" fillId="10" borderId="5" xfId="0" applyNumberFormat="1" applyFont="1" applyFill="1" applyBorder="1" applyAlignment="1">
      <alignment horizontal="right" vertical="center" wrapText="1"/>
    </xf>
    <xf numFmtId="49" fontId="29" fillId="0" borderId="0" xfId="0" applyNumberFormat="1" applyFont="1">
      <alignment vertical="top"/>
    </xf>
    <xf numFmtId="49" fontId="0" fillId="0" borderId="0" xfId="0" applyNumberFormat="1" applyFont="1">
      <alignment vertical="top"/>
    </xf>
    <xf numFmtId="49" fontId="0" fillId="10" borderId="4" xfId="0" applyNumberFormat="1" applyFont="1" applyFill="1" applyBorder="1" applyAlignment="1">
      <alignment horizontal="right" vertical="center" wrapText="1"/>
    </xf>
    <xf numFmtId="0" fontId="0" fillId="0" borderId="3" xfId="0" applyNumberFormat="1" applyFont="1" applyBorder="1" applyAlignment="1">
      <alignment horizontal="center"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0" fillId="0" borderId="5" xfId="0" applyNumberFormat="1" applyFont="1" applyBorder="1" applyAlignment="1">
      <alignment horizontal="center" vertical="center" wrapText="1"/>
    </xf>
    <xf numFmtId="0" fontId="0" fillId="9" borderId="3" xfId="0" applyNumberFormat="1" applyFont="1" applyFill="1" applyBorder="1" applyAlignment="1" applyProtection="1">
      <alignment horizontal="right" vertical="center" wrapText="1"/>
      <protection locked="0"/>
    </xf>
    <xf numFmtId="3" fontId="0" fillId="12" borderId="3"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horizontal="center" vertical="center" wrapText="1"/>
    </xf>
    <xf numFmtId="49" fontId="0" fillId="0" borderId="3" xfId="0" applyNumberFormat="1" applyFont="1" applyBorder="1" applyAlignment="1">
      <alignment vertical="top" wrapText="1"/>
    </xf>
    <xf numFmtId="0" fontId="0" fillId="8"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indent="2"/>
    </xf>
    <xf numFmtId="0" fontId="0" fillId="8" borderId="3" xfId="0" applyNumberFormat="1" applyFont="1" applyFill="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0" fillId="8" borderId="3" xfId="0" applyNumberFormat="1" applyFont="1" applyFill="1" applyBorder="1" applyAlignment="1">
      <alignment horizontal="left" vertical="center" wrapText="1" indent="1"/>
    </xf>
    <xf numFmtId="0" fontId="0" fillId="0" borderId="3" xfId="0" applyNumberFormat="1" applyFont="1" applyBorder="1" applyAlignment="1">
      <alignment horizontal="center" vertical="center" wrapText="1"/>
    </xf>
    <xf numFmtId="0" fontId="0" fillId="8" borderId="3" xfId="0" applyNumberFormat="1" applyFont="1" applyFill="1" applyBorder="1" applyAlignment="1">
      <alignment vertical="center" wrapText="1"/>
    </xf>
    <xf numFmtId="49" fontId="0" fillId="8" borderId="3" xfId="0" applyNumberFormat="1" applyFont="1" applyFill="1" applyBorder="1" applyAlignment="1">
      <alignment horizontal="center" vertical="center"/>
    </xf>
    <xf numFmtId="0" fontId="0"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49" fontId="18" fillId="8" borderId="0" xfId="0" applyNumberFormat="1" applyFont="1" applyFill="1" applyAlignment="1">
      <alignment horizontal="center" vertical="center" wrapText="1"/>
    </xf>
    <xf numFmtId="0" fontId="14" fillId="0" borderId="0" xfId="0" applyNumberFormat="1" applyFont="1" applyAlignment="1">
      <alignment vertical="center" wrapText="1"/>
    </xf>
    <xf numFmtId="0" fontId="19" fillId="8" borderId="0" xfId="0" applyNumberFormat="1" applyFont="1" applyFill="1" applyAlignment="1">
      <alignment horizontal="center" vertical="center" wrapText="1"/>
    </xf>
    <xf numFmtId="0" fontId="19" fillId="0" borderId="0" xfId="0" applyNumberFormat="1" applyFont="1" applyAlignment="1">
      <alignment horizontal="center" vertical="center" wrapText="1"/>
    </xf>
    <xf numFmtId="0" fontId="24" fillId="0" borderId="0" xfId="0" applyNumberFormat="1" applyFont="1" applyAlignment="1">
      <alignment vertical="center" wrapText="1"/>
    </xf>
    <xf numFmtId="0" fontId="28" fillId="0" borderId="0" xfId="0" applyNumberFormat="1" applyFont="1" applyAlignment="1">
      <alignment horizontal="center" vertical="center" wrapText="1"/>
    </xf>
    <xf numFmtId="0" fontId="27" fillId="0" borderId="0" xfId="0" applyNumberFormat="1" applyFont="1" applyAlignment="1">
      <alignment vertical="center" wrapText="1"/>
    </xf>
    <xf numFmtId="0" fontId="0" fillId="8" borderId="0" xfId="0" applyNumberFormat="1" applyFont="1" applyFill="1" applyAlignment="1"/>
    <xf numFmtId="0" fontId="0" fillId="8" borderId="0" xfId="0" applyNumberFormat="1" applyFont="1" applyFill="1" applyAlignment="1">
      <alignment horizontal="center"/>
    </xf>
    <xf numFmtId="0" fontId="5" fillId="8" borderId="0" xfId="0" applyNumberFormat="1" applyFont="1" applyFill="1" applyAlignment="1">
      <alignment vertical="center" wrapText="1"/>
    </xf>
    <xf numFmtId="0" fontId="57" fillId="8" borderId="0" xfId="0" applyNumberFormat="1" applyFont="1" applyFill="1" applyAlignment="1">
      <alignment horizontal="center"/>
    </xf>
    <xf numFmtId="0" fontId="57" fillId="8" borderId="0" xfId="0" applyNumberFormat="1" applyFont="1" applyFill="1" applyAlignment="1"/>
    <xf numFmtId="0" fontId="58" fillId="8" borderId="0" xfId="0" applyNumberFormat="1" applyFont="1" applyFill="1" applyAlignment="1"/>
    <xf numFmtId="0" fontId="59" fillId="8" borderId="0" xfId="0" applyNumberFormat="1" applyFont="1" applyFill="1" applyAlignment="1">
      <alignment horizontal="right" vertical="center"/>
    </xf>
    <xf numFmtId="0" fontId="59" fillId="8" borderId="0" xfId="0" applyNumberFormat="1" applyFont="1" applyFill="1" applyAlignment="1">
      <alignment horizontal="right" vertical="top"/>
    </xf>
    <xf numFmtId="0" fontId="5" fillId="8" borderId="0" xfId="0" applyNumberFormat="1" applyFont="1" applyFill="1" applyAlignment="1">
      <alignment horizontal="center" vertical="center" wrapText="1"/>
    </xf>
    <xf numFmtId="0" fontId="18" fillId="8" borderId="0" xfId="0" applyNumberFormat="1" applyFont="1" applyFill="1" applyAlignment="1">
      <alignment horizontal="center" vertical="center"/>
    </xf>
    <xf numFmtId="0" fontId="5" fillId="0" borderId="3" xfId="0" applyNumberFormat="1" applyFont="1" applyBorder="1" applyAlignment="1">
      <alignment horizontal="center" vertical="center" wrapText="1"/>
    </xf>
    <xf numFmtId="0" fontId="27" fillId="0" borderId="0" xfId="0" applyNumberFormat="1" applyFont="1" applyAlignment="1">
      <alignment vertical="top" wrapText="1"/>
    </xf>
    <xf numFmtId="0" fontId="5" fillId="10" borderId="5" xfId="0" applyNumberFormat="1" applyFont="1" applyFill="1" applyBorder="1" applyAlignment="1">
      <alignment horizontal="center"/>
    </xf>
    <xf numFmtId="0" fontId="55" fillId="10" borderId="6" xfId="0" applyNumberFormat="1" applyFont="1" applyFill="1" applyBorder="1" applyAlignment="1">
      <alignment horizontal="left" vertical="center"/>
    </xf>
    <xf numFmtId="0" fontId="55" fillId="10" borderId="4" xfId="0" applyNumberFormat="1" applyFont="1" applyFill="1" applyBorder="1" applyAlignment="1">
      <alignment horizontal="left" vertical="center"/>
    </xf>
    <xf numFmtId="0" fontId="60" fillId="8" borderId="0" xfId="0" applyNumberFormat="1" applyFont="1" applyFill="1" applyAlignment="1">
      <alignment vertical="center"/>
    </xf>
    <xf numFmtId="0" fontId="60" fillId="8" borderId="0" xfId="0" applyNumberFormat="1" applyFont="1" applyFill="1" applyAlignment="1">
      <alignment vertical="center" wrapText="1"/>
    </xf>
    <xf numFmtId="49"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vertical="center" wrapText="1"/>
    </xf>
    <xf numFmtId="0" fontId="47" fillId="8" borderId="0" xfId="0" applyNumberFormat="1" applyFont="1" applyFill="1" applyAlignment="1"/>
    <xf numFmtId="0" fontId="34" fillId="8" borderId="0" xfId="0" applyNumberFormat="1" applyFont="1" applyFill="1" applyAlignment="1"/>
    <xf numFmtId="0" fontId="43" fillId="8" borderId="0" xfId="0" applyNumberFormat="1" applyFont="1" applyFill="1" applyAlignment="1"/>
    <xf numFmtId="0" fontId="43" fillId="8" borderId="0" xfId="0" applyNumberFormat="1" applyFont="1" applyFill="1" applyAlignment="1">
      <alignment horizontal="center"/>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42" fillId="8" borderId="0" xfId="0" applyNumberFormat="1" applyFont="1" applyFill="1" applyAlignment="1">
      <alignment vertical="center" wrapText="1"/>
    </xf>
    <xf numFmtId="0" fontId="42" fillId="8" borderId="0" xfId="0" applyNumberFormat="1" applyFont="1" applyFill="1" applyAlignment="1">
      <alignment horizontal="right" vertical="center"/>
    </xf>
    <xf numFmtId="0" fontId="42" fillId="8" borderId="0" xfId="0" applyNumberFormat="1" applyFont="1" applyFill="1" applyAlignment="1">
      <alignment horizontal="right" vertical="center" wrapText="1"/>
    </xf>
    <xf numFmtId="4" fontId="42" fillId="0" borderId="0" xfId="0" applyNumberFormat="1" applyFont="1" applyAlignment="1">
      <alignment horizontal="right" vertical="center" wrapText="1"/>
    </xf>
    <xf numFmtId="0" fontId="42" fillId="0" borderId="0" xfId="0" applyNumberFormat="1" applyFont="1" applyAlignment="1">
      <alignment horizontal="left" vertical="center" wrapText="1" indent="1"/>
    </xf>
    <xf numFmtId="0" fontId="61" fillId="8" borderId="0" xfId="0" applyNumberFormat="1" applyFont="1" applyFill="1" applyAlignment="1">
      <alignment horizontal="center" vertical="center" wrapText="1"/>
    </xf>
    <xf numFmtId="0" fontId="18" fillId="8" borderId="0" xfId="0" applyNumberFormat="1" applyFont="1" applyFill="1" applyAlignment="1">
      <alignment horizontal="center" vertical="center" wrapText="1"/>
    </xf>
    <xf numFmtId="0" fontId="46" fillId="0" borderId="0" xfId="0" applyNumberFormat="1" applyFont="1" applyAlignment="1">
      <alignment vertical="center" wrapText="1"/>
    </xf>
    <xf numFmtId="0" fontId="30" fillId="0" borderId="0" xfId="0" applyNumberFormat="1" applyFont="1" applyAlignment="1">
      <alignment vertical="center" wrapText="1"/>
    </xf>
    <xf numFmtId="49" fontId="5" fillId="13" borderId="3" xfId="0" applyNumberFormat="1" applyFont="1" applyFill="1" applyBorder="1" applyAlignment="1">
      <alignment horizontal="left" vertical="center" wrapText="1"/>
    </xf>
    <xf numFmtId="0" fontId="46" fillId="0" borderId="0" xfId="0" applyNumberFormat="1" applyFont="1" applyAlignment="1">
      <alignment horizontal="center" vertical="center" wrapText="1"/>
    </xf>
    <xf numFmtId="0" fontId="5" fillId="8" borderId="15" xfId="0" applyNumberFormat="1" applyFont="1" applyFill="1" applyBorder="1" applyAlignment="1">
      <alignment vertical="center" wrapText="1"/>
    </xf>
    <xf numFmtId="49" fontId="18" fillId="8" borderId="6" xfId="0" applyNumberFormat="1" applyFont="1" applyFill="1" applyBorder="1" applyAlignment="1">
      <alignment horizontal="center" vertical="center" wrapText="1"/>
    </xf>
    <xf numFmtId="0" fontId="30" fillId="0" borderId="0" xfId="0" applyNumberFormat="1" applyFont="1" applyAlignment="1">
      <alignment horizontal="center" vertical="center" wrapText="1"/>
    </xf>
    <xf numFmtId="0" fontId="61" fillId="0" borderId="0" xfId="0" applyNumberFormat="1" applyFont="1" applyAlignment="1">
      <alignment horizontal="center" vertical="center" wrapText="1"/>
    </xf>
    <xf numFmtId="0" fontId="54" fillId="0" borderId="0" xfId="0" applyNumberFormat="1" applyFont="1" applyAlignment="1">
      <alignment vertical="center" wrapText="1"/>
    </xf>
    <xf numFmtId="49" fontId="54" fillId="0" borderId="3" xfId="0" applyNumberFormat="1" applyFont="1" applyBorder="1" applyAlignment="1">
      <alignment horizontal="left" vertical="center" wrapText="1"/>
    </xf>
    <xf numFmtId="0" fontId="62" fillId="8" borderId="0" xfId="0" applyNumberFormat="1" applyFont="1" applyFill="1" applyAlignment="1">
      <alignment horizontal="center" vertical="center" wrapText="1"/>
    </xf>
    <xf numFmtId="49" fontId="54" fillId="0" borderId="8" xfId="0" applyNumberFormat="1" applyFont="1" applyBorder="1" applyAlignment="1">
      <alignment horizontal="left" vertical="center" wrapText="1"/>
    </xf>
    <xf numFmtId="0" fontId="30" fillId="0" borderId="0" xfId="0" applyNumberFormat="1" applyFont="1" applyAlignment="1">
      <alignment vertical="center"/>
    </xf>
    <xf numFmtId="0" fontId="30" fillId="8" borderId="0" xfId="0" applyNumberFormat="1" applyFont="1" applyFill="1" applyAlignment="1"/>
    <xf numFmtId="0" fontId="30" fillId="8" borderId="0" xfId="0" applyNumberFormat="1" applyFont="1" applyFill="1" applyAlignment="1">
      <alignment vertical="center" wrapText="1"/>
    </xf>
    <xf numFmtId="0" fontId="30"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19" fillId="8" borderId="0" xfId="0" applyNumberFormat="1" applyFont="1" applyFill="1" applyAlignment="1">
      <alignment horizontal="center" vertical="center" wrapText="1"/>
    </xf>
    <xf numFmtId="0" fontId="24" fillId="0" borderId="0" xfId="0" applyNumberFormat="1" applyFont="1" applyAlignment="1">
      <alignment vertical="center" wrapText="1"/>
    </xf>
    <xf numFmtId="49" fontId="5" fillId="0" borderId="3" xfId="0" applyNumberFormat="1" applyFont="1" applyBorder="1" applyAlignment="1">
      <alignment horizontal="left" vertical="center" wrapText="1"/>
    </xf>
    <xf numFmtId="0" fontId="5" fillId="0" borderId="0" xfId="0" applyNumberFormat="1" applyFont="1" applyAlignment="1">
      <alignment vertical="center" wrapText="1"/>
    </xf>
    <xf numFmtId="49" fontId="30" fillId="0" borderId="0" xfId="0" applyNumberFormat="1" applyFont="1" applyAlignment="1">
      <alignment vertical="center" wrapText="1"/>
    </xf>
    <xf numFmtId="0" fontId="30" fillId="0" borderId="0" xfId="0" applyNumberFormat="1" applyFont="1" applyAlignment="1">
      <alignment vertical="center" wrapText="1"/>
    </xf>
    <xf numFmtId="0" fontId="5" fillId="0" borderId="3" xfId="0" applyNumberFormat="1" applyFont="1" applyBorder="1" applyAlignment="1">
      <alignment horizontal="center" vertical="center" wrapText="1"/>
    </xf>
    <xf numFmtId="14"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14" fontId="63" fillId="10" borderId="6" xfId="0" applyNumberFormat="1" applyFont="1" applyFill="1" applyBorder="1" applyAlignment="1">
      <alignment horizontal="center" vertical="center" wrapText="1"/>
    </xf>
    <xf numFmtId="0" fontId="30" fillId="0" borderId="0" xfId="0" applyNumberFormat="1" applyFont="1" applyAlignment="1">
      <alignment horizontal="left" vertical="center" wrapText="1"/>
    </xf>
    <xf numFmtId="49" fontId="30" fillId="0" borderId="0" xfId="0" applyNumberFormat="1" applyFont="1" applyAlignment="1">
      <alignment horizontal="left" vertical="center" wrapText="1"/>
    </xf>
    <xf numFmtId="0" fontId="30" fillId="0" borderId="0" xfId="0" applyNumberFormat="1" applyFont="1" applyAlignment="1">
      <alignment vertical="center" wrapText="1"/>
    </xf>
    <xf numFmtId="49" fontId="35" fillId="0" borderId="3" xfId="0" applyNumberFormat="1" applyFont="1" applyBorder="1" applyAlignment="1">
      <alignment horizontal="left" vertical="center" wrapText="1"/>
    </xf>
    <xf numFmtId="14"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64" fillId="0" borderId="0" xfId="0" applyNumberFormat="1" applyFont="1" applyAlignment="1">
      <alignment horizontal="center" vertical="center" wrapText="1"/>
    </xf>
    <xf numFmtId="0" fontId="19"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0" fillId="8" borderId="5" xfId="0" applyNumberFormat="1" applyFont="1" applyFill="1" applyBorder="1" applyAlignment="1">
      <alignment horizontal="left" vertical="center" wrapText="1"/>
    </xf>
    <xf numFmtId="49" fontId="32" fillId="10" borderId="6" xfId="0" applyNumberFormat="1" applyFont="1" applyFill="1" applyBorder="1" applyAlignment="1">
      <alignment horizontal="center" vertical="center"/>
    </xf>
    <xf numFmtId="0" fontId="15" fillId="0" borderId="0" xfId="0" applyNumberFormat="1" applyFont="1" applyAlignment="1">
      <alignment vertical="center" wrapText="1"/>
    </xf>
    <xf numFmtId="0" fontId="14"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vertical="center" wrapText="1"/>
    </xf>
    <xf numFmtId="0" fontId="29" fillId="0" borderId="0" xfId="0" applyNumberFormat="1" applyFont="1" applyAlignment="1">
      <alignment horizontal="center" vertical="center" wrapText="1"/>
    </xf>
    <xf numFmtId="0" fontId="65" fillId="0" borderId="0" xfId="0" applyNumberFormat="1" applyFont="1" applyAlignment="1">
      <alignment vertical="center" wrapText="1"/>
    </xf>
    <xf numFmtId="49" fontId="29" fillId="0" borderId="0" xfId="0" applyNumberFormat="1" applyFont="1" applyAlignment="1">
      <alignment horizontal="center" vertical="center" wrapText="1"/>
    </xf>
    <xf numFmtId="0" fontId="29" fillId="0" borderId="0" xfId="0" applyNumberFormat="1" applyFont="1" applyAlignment="1">
      <alignment vertical="center" wrapText="1"/>
    </xf>
    <xf numFmtId="49" fontId="5" fillId="0" borderId="0" xfId="0" applyNumberFormat="1" applyFont="1" applyAlignment="1">
      <alignment horizontal="center" vertical="top" wrapText="1"/>
    </xf>
    <xf numFmtId="49" fontId="5" fillId="0" borderId="3" xfId="0" applyNumberFormat="1" applyFont="1" applyBorder="1" applyAlignment="1">
      <alignment horizontal="center" vertical="center" wrapText="1"/>
    </xf>
    <xf numFmtId="49" fontId="5" fillId="12" borderId="3" xfId="0" applyNumberFormat="1" applyFont="1" applyFill="1" applyBorder="1" applyAlignment="1" applyProtection="1">
      <alignment vertical="center" wrapText="1"/>
      <protection locked="0"/>
    </xf>
    <xf numFmtId="4" fontId="5" fillId="9" borderId="3"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vertical="top" wrapText="1"/>
    </xf>
    <xf numFmtId="0" fontId="66" fillId="0" borderId="0" xfId="0" applyNumberFormat="1" applyFont="1" applyAlignment="1">
      <alignment vertical="center" wrapText="1"/>
    </xf>
    <xf numFmtId="0" fontId="36" fillId="0" borderId="0" xfId="0" applyNumberFormat="1" applyFont="1" applyAlignment="1">
      <alignment vertical="center" wrapText="1"/>
    </xf>
    <xf numFmtId="166" fontId="5" fillId="9" borderId="3" xfId="0" applyNumberFormat="1" applyFont="1" applyFill="1" applyBorder="1" applyAlignment="1" applyProtection="1">
      <alignment horizontal="right" vertical="center" wrapText="1"/>
      <protection locked="0"/>
    </xf>
    <xf numFmtId="0" fontId="5" fillId="0" borderId="19" xfId="0" applyNumberFormat="1" applyFont="1" applyBorder="1" applyAlignment="1">
      <alignment horizontal="center" vertical="center" wrapText="1"/>
    </xf>
    <xf numFmtId="0" fontId="5" fillId="12" borderId="3" xfId="0" applyNumberFormat="1" applyFont="1" applyFill="1" applyBorder="1" applyAlignment="1" applyProtection="1">
      <alignment horizontal="left" vertical="center" wrapText="1" indent="2"/>
      <protection locked="0"/>
    </xf>
    <xf numFmtId="49" fontId="30" fillId="0" borderId="0" xfId="0" applyNumberFormat="1" applyFont="1" applyAlignment="1">
      <alignment horizontal="center" vertical="center" wrapText="1"/>
    </xf>
    <xf numFmtId="0" fontId="30" fillId="0" borderId="19" xfId="0" applyNumberFormat="1" applyFont="1" applyBorder="1" applyAlignment="1">
      <alignment horizontal="center" vertical="center" wrapText="1"/>
    </xf>
    <xf numFmtId="0" fontId="30" fillId="0" borderId="3" xfId="0" applyNumberFormat="1" applyFont="1" applyBorder="1" applyAlignment="1">
      <alignment horizontal="left" vertical="center" wrapText="1" indent="2"/>
    </xf>
    <xf numFmtId="0" fontId="30" fillId="0" borderId="3" xfId="0" applyNumberFormat="1" applyFont="1" applyBorder="1" applyAlignment="1">
      <alignment horizontal="center" vertical="center" wrapText="1"/>
    </xf>
    <xf numFmtId="0" fontId="30" fillId="0" borderId="3" xfId="0" applyNumberFormat="1" applyFont="1" applyBorder="1" applyAlignment="1">
      <alignment vertical="center" wrapText="1"/>
    </xf>
    <xf numFmtId="0" fontId="5" fillId="0" borderId="3" xfId="0" applyNumberFormat="1" applyFont="1" applyBorder="1" applyAlignment="1">
      <alignment horizontal="left" vertical="center" wrapText="1" indent="3"/>
    </xf>
    <xf numFmtId="49" fontId="5" fillId="12" borderId="3" xfId="0" applyNumberFormat="1" applyFont="1" applyFill="1" applyBorder="1" applyAlignment="1" applyProtection="1">
      <alignment horizontal="center" vertical="center" wrapText="1"/>
      <protection locked="0"/>
    </xf>
    <xf numFmtId="0" fontId="5" fillId="9" borderId="3" xfId="0" applyNumberFormat="1" applyFont="1" applyFill="1" applyBorder="1" applyAlignment="1" applyProtection="1">
      <alignment horizontal="left" vertical="center" wrapText="1"/>
      <protection locked="0"/>
    </xf>
    <xf numFmtId="0" fontId="28" fillId="0" borderId="0" xfId="0" applyNumberFormat="1" applyFont="1" applyAlignment="1">
      <alignment vertical="center" wrapText="1"/>
    </xf>
    <xf numFmtId="4" fontId="5" fillId="12" borderId="3" xfId="0" applyNumberFormat="1" applyFont="1" applyFill="1" applyBorder="1" applyAlignment="1" applyProtection="1">
      <alignment horizontal="right" vertical="center" wrapText="1"/>
      <protection locked="0"/>
    </xf>
    <xf numFmtId="4" fontId="5" fillId="7" borderId="3" xfId="0" applyNumberFormat="1" applyFont="1" applyFill="1" applyBorder="1" applyAlignment="1">
      <alignment horizontal="right" vertical="center" wrapText="1"/>
    </xf>
    <xf numFmtId="0" fontId="5" fillId="0" borderId="3" xfId="0" applyNumberFormat="1" applyFont="1" applyBorder="1" applyAlignment="1">
      <alignment horizontal="left" vertical="center" wrapText="1" indent="1"/>
    </xf>
    <xf numFmtId="49" fontId="54" fillId="0" borderId="0" xfId="0" applyNumberFormat="1" applyFont="1" applyAlignment="1">
      <alignment horizontal="center" vertical="center" wrapText="1"/>
    </xf>
    <xf numFmtId="49"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2"/>
    </xf>
    <xf numFmtId="0" fontId="54" fillId="0" borderId="3" xfId="0" applyNumberFormat="1" applyFont="1" applyBorder="1" applyAlignment="1">
      <alignment horizontal="center" vertical="center" wrapText="1"/>
    </xf>
    <xf numFmtId="0" fontId="54" fillId="0" borderId="3" xfId="0" applyNumberFormat="1" applyFont="1" applyBorder="1" applyAlignment="1">
      <alignment vertical="center" wrapText="1"/>
    </xf>
    <xf numFmtId="0" fontId="67" fillId="0" borderId="0" xfId="0" applyNumberFormat="1" applyFont="1" applyAlignment="1">
      <alignment vertical="center" wrapText="1"/>
    </xf>
    <xf numFmtId="0" fontId="45" fillId="0" borderId="0" xfId="0" applyNumberFormat="1" applyFont="1" applyAlignment="1">
      <alignment vertical="center" wrapText="1"/>
    </xf>
    <xf numFmtId="0"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3"/>
    </xf>
    <xf numFmtId="4" fontId="54" fillId="0" borderId="3" xfId="0" applyNumberFormat="1" applyFont="1" applyBorder="1" applyAlignment="1">
      <alignment horizontal="right" vertical="center" wrapText="1"/>
    </xf>
    <xf numFmtId="49" fontId="5" fillId="10" borderId="5" xfId="0" applyNumberFormat="1" applyFont="1" applyFill="1" applyBorder="1" applyAlignment="1">
      <alignment vertical="center" wrapText="1"/>
    </xf>
    <xf numFmtId="49" fontId="22" fillId="10" borderId="6" xfId="0" applyNumberFormat="1" applyFont="1" applyFill="1" applyBorder="1" applyAlignment="1">
      <alignment horizontal="left" vertical="center" indent="2"/>
    </xf>
    <xf numFmtId="0" fontId="5" fillId="10" borderId="6" xfId="0" applyNumberFormat="1" applyFont="1" applyFill="1" applyBorder="1" applyAlignment="1">
      <alignment vertical="center" wrapText="1"/>
    </xf>
    <xf numFmtId="0" fontId="29" fillId="10" borderId="4" xfId="0" applyNumberFormat="1" applyFont="1" applyFill="1" applyBorder="1" applyAlignment="1">
      <alignment vertical="center" wrapText="1"/>
    </xf>
    <xf numFmtId="14" fontId="5" fillId="0" borderId="0" xfId="0" applyNumberFormat="1" applyFont="1" applyAlignment="1">
      <alignment horizontal="center" vertical="center" wrapText="1"/>
    </xf>
    <xf numFmtId="49" fontId="32" fillId="0" borderId="0" xfId="0" applyNumberFormat="1" applyFont="1" applyAlignment="1">
      <alignment horizontal="center" vertical="center"/>
    </xf>
    <xf numFmtId="0" fontId="5" fillId="0" borderId="3" xfId="0" applyNumberFormat="1" applyFont="1" applyBorder="1" applyAlignment="1">
      <alignment horizontal="left" vertical="center" wrapText="1" indent="2"/>
    </xf>
    <xf numFmtId="166" fontId="5" fillId="12" borderId="3" xfId="0" applyNumberFormat="1" applyFont="1" applyFill="1" applyBorder="1" applyAlignment="1" applyProtection="1">
      <alignment horizontal="right" vertical="center" wrapText="1"/>
      <protection locked="0"/>
    </xf>
    <xf numFmtId="0" fontId="5" fillId="0" borderId="8" xfId="0" applyNumberFormat="1" applyFont="1" applyBorder="1" applyAlignment="1">
      <alignment horizontal="center" vertical="center" wrapText="1"/>
    </xf>
    <xf numFmtId="4" fontId="5" fillId="7" borderId="8" xfId="0" applyNumberFormat="1" applyFont="1" applyFill="1" applyBorder="1" applyAlignment="1">
      <alignment horizontal="right" vertical="center" wrapText="1"/>
    </xf>
    <xf numFmtId="49" fontId="22" fillId="10" borderId="6" xfId="0" applyNumberFormat="1" applyFont="1" applyFill="1" applyBorder="1" applyAlignment="1">
      <alignment horizontal="left" vertical="center" indent="1"/>
    </xf>
    <xf numFmtId="0" fontId="5" fillId="0" borderId="0" xfId="0" applyNumberFormat="1" applyFont="1" applyAlignment="1">
      <alignment horizontal="left" vertical="center" wrapText="1"/>
    </xf>
    <xf numFmtId="0" fontId="5" fillId="0" borderId="0" xfId="0" applyNumberFormat="1" applyFont="1" applyAlignment="1">
      <alignment vertical="center"/>
    </xf>
    <xf numFmtId="0" fontId="0" fillId="0" borderId="0" xfId="0" applyNumberFormat="1" applyFont="1" applyAlignment="1">
      <alignment vertical="center"/>
    </xf>
    <xf numFmtId="0" fontId="29" fillId="0" borderId="0" xfId="0" applyNumberFormat="1" applyFont="1" applyAlignment="1">
      <alignment vertical="center"/>
    </xf>
    <xf numFmtId="0" fontId="5" fillId="0" borderId="0" xfId="0" applyNumberFormat="1" applyFont="1" applyAlignment="1">
      <alignment vertical="center"/>
    </xf>
    <xf numFmtId="0" fontId="68" fillId="0" borderId="0" xfId="0" applyNumberFormat="1" applyFont="1" applyAlignment="1">
      <alignment vertical="center"/>
    </xf>
    <xf numFmtId="0" fontId="23" fillId="0" borderId="0" xfId="0" applyNumberFormat="1" applyFont="1" applyAlignment="1">
      <alignment vertical="center"/>
    </xf>
    <xf numFmtId="0" fontId="5" fillId="0" borderId="0" xfId="0" applyNumberFormat="1" applyFont="1" applyAlignment="1">
      <alignment vertical="center" wrapText="1"/>
    </xf>
    <xf numFmtId="0" fontId="23" fillId="0" borderId="0" xfId="0" applyNumberFormat="1" applyFont="1" applyAlignment="1">
      <alignment vertical="center"/>
    </xf>
    <xf numFmtId="0" fontId="68" fillId="0" borderId="0" xfId="0" applyNumberFormat="1" applyFont="1" applyAlignment="1">
      <alignment vertical="center"/>
    </xf>
    <xf numFmtId="0" fontId="13" fillId="0" borderId="0" xfId="0" applyNumberFormat="1" applyFont="1" applyAlignment="1">
      <alignment vertical="center"/>
    </xf>
    <xf numFmtId="0" fontId="5" fillId="0" borderId="0" xfId="0" applyNumberFormat="1" applyFont="1" applyAlignment="1">
      <alignment horizontal="center" vertical="center" wrapText="1"/>
    </xf>
    <xf numFmtId="49" fontId="18" fillId="0" borderId="0" xfId="0" applyNumberFormat="1" applyFont="1" applyAlignment="1">
      <alignment horizontal="center" vertical="center" wrapText="1"/>
    </xf>
    <xf numFmtId="49" fontId="18" fillId="0" borderId="3" xfId="0" applyNumberFormat="1" applyFont="1" applyBorder="1" applyAlignment="1">
      <alignment horizontal="center" vertical="center" wrapText="1"/>
    </xf>
    <xf numFmtId="0" fontId="29" fillId="0" borderId="0" xfId="0" applyNumberFormat="1" applyFont="1" applyAlignment="1">
      <alignment vertical="center"/>
    </xf>
    <xf numFmtId="0" fontId="0" fillId="0" borderId="0" xfId="0" applyNumberFormat="1" applyFont="1" applyAlignment="1">
      <alignment vertical="center"/>
    </xf>
    <xf numFmtId="0" fontId="30" fillId="0" borderId="0" xfId="0" applyNumberFormat="1" applyFont="1" applyAlignment="1">
      <alignment horizontal="center" vertical="center"/>
    </xf>
    <xf numFmtId="0" fontId="5" fillId="0" borderId="0" xfId="0" applyNumberFormat="1" applyFont="1" applyAlignment="1">
      <alignment horizontal="center" vertical="center" wrapText="1"/>
    </xf>
    <xf numFmtId="0" fontId="5" fillId="10" borderId="5"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0" fillId="10" borderId="4" xfId="0" applyNumberFormat="1" applyFont="1" applyFill="1" applyBorder="1" applyAlignment="1">
      <alignment vertical="center"/>
    </xf>
    <xf numFmtId="49" fontId="5" fillId="0" borderId="8" xfId="0" applyNumberFormat="1" applyFont="1" applyBorder="1" applyAlignment="1">
      <alignment horizontal="center" vertical="center" wrapText="1"/>
    </xf>
    <xf numFmtId="49" fontId="57" fillId="0" borderId="3" xfId="0" applyNumberFormat="1" applyFont="1" applyBorder="1" applyAlignment="1">
      <alignment horizontal="left" vertical="center" wrapText="1" indent="1"/>
    </xf>
    <xf numFmtId="0" fontId="29" fillId="0" borderId="0" xfId="0" applyNumberFormat="1" applyFont="1" applyAlignment="1">
      <alignment vertical="center"/>
    </xf>
    <xf numFmtId="0" fontId="56" fillId="0" borderId="0" xfId="0" applyNumberFormat="1" applyFont="1" applyAlignment="1">
      <alignment vertical="center"/>
    </xf>
    <xf numFmtId="0" fontId="0" fillId="0" borderId="0" xfId="0" applyNumberFormat="1" applyFont="1" applyAlignment="1">
      <alignment vertical="center"/>
    </xf>
    <xf numFmtId="49" fontId="22" fillId="10" borderId="4" xfId="0" applyNumberFormat="1" applyFont="1" applyFill="1" applyBorder="1" applyAlignment="1">
      <alignment horizontal="left" vertical="center" indent="1"/>
    </xf>
    <xf numFmtId="49" fontId="32" fillId="10" borderId="4" xfId="0" applyNumberFormat="1" applyFont="1" applyFill="1" applyBorder="1" applyAlignment="1">
      <alignment horizontal="right" vertical="center" wrapText="1"/>
    </xf>
    <xf numFmtId="0" fontId="57" fillId="15" borderId="0" xfId="0" applyNumberFormat="1" applyFont="1" applyFill="1">
      <alignment vertical="top"/>
    </xf>
    <xf numFmtId="49" fontId="14" fillId="0" borderId="0" xfId="0" applyNumberFormat="1" applyFont="1" applyAlignment="1">
      <alignment horizontal="center" vertical="center" wrapText="1"/>
    </xf>
    <xf numFmtId="0" fontId="30" fillId="0" borderId="0" xfId="0" applyNumberFormat="1" applyFont="1" applyAlignment="1">
      <alignment vertical="center" wrapText="1"/>
    </xf>
    <xf numFmtId="0" fontId="14" fillId="0" borderId="0" xfId="0" applyNumberFormat="1" applyFont="1" applyAlignment="1">
      <alignment vertical="center" wrapText="1"/>
    </xf>
    <xf numFmtId="0" fontId="5" fillId="0" borderId="0" xfId="0" applyNumberFormat="1" applyFont="1" applyAlignment="1">
      <alignment horizontal="center" vertical="center" wrapText="1"/>
    </xf>
    <xf numFmtId="0" fontId="32" fillId="0" borderId="0" xfId="0" applyNumberFormat="1" applyFont="1" applyAlignment="1">
      <alignment horizontal="center" vertical="center" wrapText="1"/>
    </xf>
    <xf numFmtId="49" fontId="14" fillId="0" borderId="0" xfId="0" applyNumberFormat="1" applyFont="1" applyAlignment="1">
      <alignment horizontal="center" vertical="center" wrapText="1"/>
    </xf>
    <xf numFmtId="4" fontId="5" fillId="0" borderId="0" xfId="0" applyNumberFormat="1" applyFont="1" applyAlignment="1">
      <alignment horizontal="right" vertical="center" wrapText="1"/>
    </xf>
    <xf numFmtId="9" fontId="32" fillId="0" borderId="0" xfId="0" applyNumberFormat="1" applyFont="1" applyAlignment="1">
      <alignment horizontal="center" vertical="center" wrapText="1"/>
    </xf>
    <xf numFmtId="0" fontId="53" fillId="0" borderId="0" xfId="0" applyNumberFormat="1" applyFont="1" applyAlignment="1">
      <alignment vertical="center" wrapText="1"/>
    </xf>
    <xf numFmtId="0" fontId="30" fillId="0" borderId="0" xfId="0" applyNumberFormat="1" applyFont="1" applyAlignment="1">
      <alignment vertical="center" wrapText="1"/>
    </xf>
    <xf numFmtId="0" fontId="14" fillId="0" borderId="0" xfId="0" applyNumberFormat="1" applyFont="1" applyAlignment="1">
      <alignment vertical="center" wrapText="1"/>
    </xf>
    <xf numFmtId="49" fontId="45" fillId="0" borderId="0" xfId="0" applyNumberFormat="1" applyFont="1" applyAlignment="1">
      <alignment horizontal="center" vertical="center" wrapText="1"/>
    </xf>
    <xf numFmtId="0" fontId="45" fillId="0" borderId="0" xfId="0" applyNumberFormat="1" applyFont="1" applyAlignment="1">
      <alignment vertical="center" wrapText="1"/>
    </xf>
    <xf numFmtId="0" fontId="0" fillId="0" borderId="0" xfId="0" applyNumberFormat="1" applyFont="1">
      <alignment vertical="top"/>
    </xf>
    <xf numFmtId="49" fontId="0" fillId="0" borderId="0" xfId="0" applyNumberFormat="1" applyFont="1">
      <alignment vertical="top"/>
    </xf>
    <xf numFmtId="49" fontId="30" fillId="0" borderId="0" xfId="0" applyNumberFormat="1" applyFont="1">
      <alignment vertical="top"/>
    </xf>
    <xf numFmtId="49" fontId="29" fillId="0" borderId="0" xfId="0" applyNumberFormat="1" applyFont="1">
      <alignment vertical="top"/>
    </xf>
    <xf numFmtId="49" fontId="30" fillId="0" borderId="0" xfId="0" applyNumberFormat="1" applyFont="1">
      <alignment vertical="top"/>
    </xf>
    <xf numFmtId="49" fontId="29" fillId="0" borderId="0" xfId="0" applyNumberFormat="1" applyFont="1">
      <alignment vertical="top"/>
    </xf>
    <xf numFmtId="49" fontId="29" fillId="0" borderId="0" xfId="0" applyNumberFormat="1" applyFont="1">
      <alignment vertical="top"/>
    </xf>
    <xf numFmtId="0" fontId="29" fillId="0" borderId="0" xfId="0" applyNumberFormat="1" applyFont="1">
      <alignment vertical="top"/>
    </xf>
    <xf numFmtId="0" fontId="56" fillId="0" borderId="0" xfId="0" applyNumberFormat="1" applyFont="1">
      <alignment vertical="top"/>
    </xf>
    <xf numFmtId="0" fontId="69" fillId="0" borderId="0" xfId="0" applyNumberFormat="1" applyFont="1">
      <alignment vertical="top"/>
    </xf>
    <xf numFmtId="0" fontId="29" fillId="0" borderId="0" xfId="0" applyNumberFormat="1" applyFont="1" applyAlignment="1">
      <alignment horizontal="center" vertical="center" wrapText="1"/>
    </xf>
    <xf numFmtId="0" fontId="30" fillId="0" borderId="0" xfId="0" applyNumberFormat="1" applyFont="1" applyAlignment="1">
      <alignment horizontal="center" vertical="center" wrapText="1"/>
    </xf>
    <xf numFmtId="0" fontId="30" fillId="0" borderId="3" xfId="0" applyNumberFormat="1" applyFont="1" applyBorder="1" applyAlignment="1">
      <alignment horizontal="left" vertical="center" wrapText="1"/>
    </xf>
    <xf numFmtId="0" fontId="30" fillId="0" borderId="3" xfId="0" applyNumberFormat="1" applyFont="1" applyBorder="1" applyAlignment="1">
      <alignment vertical="center" wrapText="1"/>
    </xf>
    <xf numFmtId="49" fontId="0" fillId="0" borderId="4"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4" fontId="0" fillId="7" borderId="3" xfId="0" applyNumberFormat="1" applyFont="1" applyFill="1" applyBorder="1" applyAlignment="1">
      <alignment horizontal="right" vertical="center" wrapText="1"/>
    </xf>
    <xf numFmtId="0" fontId="0" fillId="0" borderId="3" xfId="0" applyNumberFormat="1" applyFont="1" applyBorder="1" applyAlignment="1">
      <alignment vertical="center" wrapText="1"/>
    </xf>
    <xf numFmtId="49" fontId="0" fillId="0" borderId="20" xfId="0" applyNumberFormat="1" applyFont="1" applyBorder="1" applyAlignment="1">
      <alignment horizontal="center" vertical="center" wrapText="1"/>
    </xf>
    <xf numFmtId="4" fontId="0" fillId="12" borderId="3" xfId="0" applyNumberFormat="1" applyFont="1" applyFill="1" applyBorder="1" applyAlignment="1" applyProtection="1">
      <alignment horizontal="right" vertical="center" wrapText="1"/>
      <protection locked="0"/>
    </xf>
    <xf numFmtId="49" fontId="0" fillId="12" borderId="3" xfId="0" applyNumberFormat="1" applyFont="1" applyFill="1" applyBorder="1" applyAlignment="1" applyProtection="1">
      <alignment horizontal="center" vertical="center" wrapText="1"/>
      <protection locked="0"/>
    </xf>
    <xf numFmtId="4" fontId="29" fillId="0" borderId="3" xfId="0" applyNumberFormat="1" applyFont="1" applyBorder="1" applyAlignment="1">
      <alignment horizontal="right" vertical="center" wrapText="1"/>
    </xf>
    <xf numFmtId="49" fontId="0" fillId="10" borderId="21" xfId="0" applyNumberFormat="1" applyFont="1" applyFill="1" applyBorder="1" applyAlignment="1">
      <alignment horizontal="center" vertical="center"/>
    </xf>
    <xf numFmtId="49" fontId="0" fillId="10" borderId="6" xfId="0" applyNumberFormat="1" applyFont="1" applyFill="1" applyBorder="1" applyAlignment="1">
      <alignment horizontal="center" vertical="center"/>
    </xf>
    <xf numFmtId="49" fontId="22" fillId="10" borderId="6" xfId="0" applyNumberFormat="1" applyFont="1" applyFill="1" applyBorder="1" applyAlignment="1">
      <alignment horizontal="left" vertical="center"/>
    </xf>
    <xf numFmtId="49" fontId="22" fillId="10" borderId="4" xfId="0" applyNumberFormat="1" applyFont="1" applyFill="1" applyBorder="1" applyAlignment="1">
      <alignment horizontal="left" vertical="center" indent="1"/>
    </xf>
    <xf numFmtId="49" fontId="22" fillId="10" borderId="5" xfId="0" applyNumberFormat="1" applyFont="1" applyFill="1" applyBorder="1" applyAlignment="1">
      <alignment horizontal="left" vertical="center"/>
    </xf>
    <xf numFmtId="49" fontId="22" fillId="10" borderId="6" xfId="0" applyNumberFormat="1" applyFont="1" applyFill="1" applyBorder="1" applyAlignment="1">
      <alignment horizontal="left" vertical="center" indent="1"/>
    </xf>
    <xf numFmtId="49" fontId="22" fillId="10" borderId="6" xfId="0" applyNumberFormat="1" applyFont="1" applyFill="1" applyBorder="1" applyAlignment="1">
      <alignment horizontal="left" vertical="center"/>
    </xf>
    <xf numFmtId="49" fontId="22" fillId="10" borderId="4" xfId="0" applyNumberFormat="1" applyFont="1" applyFill="1" applyBorder="1" applyAlignment="1">
      <alignment horizontal="left" vertical="center" indent="1"/>
    </xf>
    <xf numFmtId="0" fontId="22" fillId="0" borderId="3" xfId="0" applyNumberFormat="1" applyFont="1" applyBorder="1" applyAlignment="1">
      <alignment horizontal="left" vertical="center" indent="1"/>
    </xf>
    <xf numFmtId="0" fontId="5" fillId="0" borderId="0" xfId="0" applyNumberFormat="1" applyFont="1" applyAlignment="1">
      <alignment horizontal="right" vertical="center" wrapText="1"/>
    </xf>
    <xf numFmtId="0" fontId="0" fillId="0" borderId="0" xfId="0" applyNumberFormat="1" applyFont="1" applyAlignment="1">
      <alignment vertical="center"/>
    </xf>
    <xf numFmtId="0" fontId="27" fillId="0" borderId="0" xfId="0" applyNumberFormat="1" applyFont="1" applyAlignment="1">
      <alignment horizontal="right" vertical="top" wrapText="1"/>
    </xf>
    <xf numFmtId="0" fontId="5" fillId="0" borderId="0" xfId="0" applyNumberFormat="1" applyFont="1" applyAlignment="1">
      <alignment vertical="top" wrapText="1"/>
    </xf>
    <xf numFmtId="0" fontId="5" fillId="0" borderId="0" xfId="0" applyNumberFormat="1" applyFont="1" applyAlignment="1">
      <alignment horizontal="left" vertical="top" wrapText="1"/>
    </xf>
    <xf numFmtId="0" fontId="18" fillId="0" borderId="0" xfId="0" applyNumberFormat="1" applyFont="1" applyAlignment="1">
      <alignment horizontal="center" vertical="center" wrapText="1"/>
    </xf>
    <xf numFmtId="4" fontId="5" fillId="0" borderId="3" xfId="0" applyNumberFormat="1" applyFont="1" applyBorder="1" applyAlignment="1">
      <alignment horizontal="center" vertical="center" wrapText="1"/>
    </xf>
    <xf numFmtId="49" fontId="35" fillId="9" borderId="5" xfId="0" applyNumberFormat="1" applyFont="1" applyFill="1" applyBorder="1" applyAlignment="1" applyProtection="1">
      <alignment horizontal="left" vertical="center" wrapText="1"/>
      <protection locked="0"/>
    </xf>
    <xf numFmtId="49" fontId="35" fillId="9" borderId="5"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protection locked="0"/>
    </xf>
    <xf numFmtId="0" fontId="27" fillId="0" borderId="0" xfId="0" applyNumberFormat="1" applyFont="1">
      <alignment vertical="top"/>
    </xf>
    <xf numFmtId="49" fontId="5" fillId="0" borderId="22" xfId="0" applyNumberFormat="1" applyFont="1" applyBorder="1" applyAlignment="1">
      <alignment horizontal="center" vertical="center" wrapText="1"/>
    </xf>
    <xf numFmtId="0" fontId="5" fillId="0" borderId="22" xfId="0" applyNumberFormat="1" applyFont="1" applyBorder="1" applyAlignment="1">
      <alignment horizontal="left" vertical="center" wrapText="1"/>
    </xf>
    <xf numFmtId="0" fontId="5" fillId="0" borderId="22" xfId="0" applyNumberFormat="1" applyFont="1" applyBorder="1" applyAlignment="1">
      <alignment horizontal="left" vertical="center" wrapText="1" indent="1"/>
    </xf>
    <xf numFmtId="4" fontId="5" fillId="12" borderId="22" xfId="0" applyNumberFormat="1" applyFont="1" applyFill="1" applyBorder="1" applyAlignment="1" applyProtection="1">
      <alignment horizontal="right" vertical="center" wrapText="1"/>
      <protection locked="0"/>
    </xf>
    <xf numFmtId="49" fontId="5" fillId="0" borderId="23" xfId="0" applyNumberFormat="1" applyFont="1" applyBorder="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5" fillId="0" borderId="22" xfId="0" applyNumberFormat="1" applyFont="1" applyBorder="1" applyAlignment="1">
      <alignment horizontal="left" vertical="center" wrapText="1" indent="2"/>
    </xf>
    <xf numFmtId="0" fontId="29" fillId="0" borderId="0" xfId="0" applyNumberFormat="1" applyFont="1" applyAlignment="1">
      <alignment horizontal="center" vertical="center" wrapText="1"/>
    </xf>
    <xf numFmtId="49" fontId="5" fillId="0" borderId="0" xfId="0" applyNumberFormat="1" applyFont="1" applyAlignment="1">
      <alignment horizontal="left" vertical="center" wrapText="1"/>
    </xf>
    <xf numFmtId="0" fontId="65" fillId="0" borderId="0" xfId="0" applyNumberFormat="1" applyFont="1" applyAlignment="1">
      <alignment vertical="center" wrapText="1"/>
    </xf>
    <xf numFmtId="0" fontId="65" fillId="0" borderId="0" xfId="0" applyNumberFormat="1" applyFont="1" applyAlignment="1">
      <alignment vertical="center" wrapText="1"/>
    </xf>
    <xf numFmtId="0" fontId="5" fillId="0" borderId="0" xfId="0" applyNumberFormat="1" applyFont="1" applyAlignment="1">
      <alignment horizontal="left" vertical="center" wrapText="1"/>
    </xf>
    <xf numFmtId="0" fontId="5" fillId="0" borderId="3" xfId="0" applyNumberFormat="1" applyFont="1" applyBorder="1" applyAlignment="1">
      <alignment horizontal="left" vertical="center" wrapText="1"/>
    </xf>
    <xf numFmtId="3" fontId="5" fillId="0" borderId="5" xfId="0" applyNumberFormat="1" applyFont="1" applyBorder="1" applyAlignment="1">
      <alignment vertical="center" wrapText="1"/>
    </xf>
    <xf numFmtId="0" fontId="5" fillId="0" borderId="4" xfId="0" applyNumberFormat="1" applyFont="1" applyBorder="1" applyAlignment="1">
      <alignment vertical="center" wrapText="1"/>
    </xf>
    <xf numFmtId="4" fontId="5" fillId="9" borderId="5" xfId="0" applyNumberFormat="1" applyFont="1" applyFill="1" applyBorder="1" applyAlignment="1" applyProtection="1">
      <alignment horizontal="right" vertical="center" wrapText="1"/>
      <protection locked="0"/>
    </xf>
    <xf numFmtId="4" fontId="5" fillId="0" borderId="5"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0" fontId="18"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3" fontId="5" fillId="12" borderId="5" xfId="0" applyNumberFormat="1" applyFont="1" applyFill="1" applyBorder="1" applyAlignment="1" applyProtection="1">
      <alignment vertical="center" wrapText="1"/>
      <protection locked="0"/>
    </xf>
    <xf numFmtId="49" fontId="5" fillId="9" borderId="5" xfId="0" applyNumberFormat="1" applyFont="1" applyFill="1" applyBorder="1" applyAlignment="1" applyProtection="1">
      <alignment horizontal="left" vertical="center" wrapText="1"/>
      <protection locked="0"/>
    </xf>
    <xf numFmtId="4" fontId="5" fillId="7" borderId="5"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0" borderId="5" xfId="0" applyNumberFormat="1" applyFont="1" applyBorder="1" applyAlignment="1">
      <alignment horizontal="center" vertical="center"/>
    </xf>
    <xf numFmtId="49" fontId="0" fillId="0" borderId="3" xfId="0" applyNumberFormat="1" applyFont="1" applyBorder="1" applyAlignment="1">
      <alignment horizontal="left" vertical="center" wrapText="1" indent="1"/>
    </xf>
    <xf numFmtId="0" fontId="5" fillId="0" borderId="4" xfId="0" applyNumberFormat="1" applyFont="1" applyBorder="1" applyAlignment="1">
      <alignment horizontal="center" vertical="center" wrapText="1"/>
    </xf>
    <xf numFmtId="49" fontId="0" fillId="0" borderId="5" xfId="0" applyNumberFormat="1" applyFont="1" applyBorder="1" applyAlignment="1">
      <alignment horizontal="center" vertical="center"/>
    </xf>
    <xf numFmtId="49" fontId="0" fillId="0" borderId="3" xfId="0" applyNumberFormat="1" applyFont="1" applyBorder="1" applyAlignment="1">
      <alignment vertical="center" wrapText="1"/>
    </xf>
    <xf numFmtId="0" fontId="5" fillId="10" borderId="10" xfId="0" applyNumberFormat="1" applyFont="1" applyFill="1" applyBorder="1" applyAlignment="1">
      <alignment vertical="center" wrapText="1"/>
    </xf>
    <xf numFmtId="0" fontId="5" fillId="0" borderId="6" xfId="0" applyNumberFormat="1" applyFont="1" applyBorder="1" applyAlignment="1">
      <alignment horizontal="center" vertical="center" wrapText="1"/>
    </xf>
    <xf numFmtId="0" fontId="5" fillId="10" borderId="18" xfId="0" applyNumberFormat="1" applyFont="1" applyFill="1" applyBorder="1" applyAlignment="1">
      <alignment vertical="center" wrapText="1"/>
    </xf>
    <xf numFmtId="49" fontId="5" fillId="12" borderId="5"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center" wrapText="1"/>
      <protection locked="0"/>
    </xf>
    <xf numFmtId="0" fontId="28" fillId="0" borderId="0" xfId="0" applyNumberFormat="1" applyFont="1" applyAlignment="1">
      <alignment horizontal="left" vertical="center" wrapText="1" indent="1"/>
    </xf>
    <xf numFmtId="0" fontId="70" fillId="0" borderId="0" xfId="0" applyNumberFormat="1" applyFont="1" applyAlignment="1">
      <alignment vertical="center" wrapText="1"/>
    </xf>
    <xf numFmtId="0" fontId="70" fillId="8" borderId="0" xfId="0" applyNumberFormat="1" applyFont="1" applyFill="1" applyAlignment="1">
      <alignment horizontal="center" vertical="center" wrapText="1"/>
    </xf>
    <xf numFmtId="0" fontId="70" fillId="8" borderId="0" xfId="0" applyNumberFormat="1" applyFont="1" applyFill="1" applyAlignment="1">
      <alignment horizontal="right" vertical="center" wrapText="1"/>
    </xf>
    <xf numFmtId="0" fontId="5" fillId="0" borderId="3" xfId="0" applyNumberFormat="1" applyFont="1" applyBorder="1" applyAlignment="1">
      <alignment horizontal="center" vertical="center" wrapText="1"/>
    </xf>
    <xf numFmtId="49" fontId="29"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top"/>
    </xf>
    <xf numFmtId="0" fontId="5" fillId="0" borderId="3" xfId="0" applyNumberFormat="1" applyFont="1" applyBorder="1" applyAlignment="1">
      <alignment horizontal="left" vertical="center" wrapText="1"/>
    </xf>
    <xf numFmtId="0" fontId="30"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indent="1"/>
    </xf>
    <xf numFmtId="0" fontId="5" fillId="0" borderId="5" xfId="0" applyNumberFormat="1" applyFont="1" applyBorder="1" applyAlignment="1">
      <alignment vertical="center" wrapText="1"/>
    </xf>
    <xf numFmtId="0" fontId="5" fillId="0" borderId="0" xfId="0" applyNumberFormat="1" applyFont="1" applyAlignment="1">
      <alignment horizontal="right" vertical="center"/>
    </xf>
    <xf numFmtId="49" fontId="35" fillId="10" borderId="4" xfId="0" applyNumberFormat="1" applyFont="1" applyFill="1" applyBorder="1" applyAlignment="1">
      <alignment horizontal="left" vertical="center" wrapText="1"/>
    </xf>
    <xf numFmtId="0" fontId="71" fillId="0" borderId="0" xfId="0" applyNumberFormat="1" applyFont="1" applyAlignment="1">
      <alignment vertical="center"/>
    </xf>
    <xf numFmtId="0" fontId="72" fillId="0" borderId="0" xfId="0" applyNumberFormat="1" applyFont="1" applyAlignment="1">
      <alignment vertical="center"/>
    </xf>
    <xf numFmtId="49" fontId="30" fillId="0" borderId="13" xfId="0" applyNumberFormat="1" applyFont="1" applyBorder="1">
      <alignment vertical="top"/>
    </xf>
    <xf numFmtId="49" fontId="30" fillId="0" borderId="13" xfId="0" applyNumberFormat="1" applyFont="1" applyBorder="1">
      <alignment vertical="top"/>
    </xf>
    <xf numFmtId="0" fontId="30" fillId="0" borderId="13" xfId="0" applyNumberFormat="1" applyFont="1" applyBorder="1" applyAlignment="1">
      <alignment vertical="center" wrapText="1"/>
    </xf>
    <xf numFmtId="0" fontId="5" fillId="0" borderId="4" xfId="0" applyNumberFormat="1" applyFont="1" applyBorder="1" applyAlignment="1">
      <alignment horizontal="left" vertical="center" wrapText="1" indent="1"/>
    </xf>
    <xf numFmtId="0" fontId="53" fillId="0" borderId="13" xfId="0" applyNumberFormat="1" applyFont="1" applyBorder="1" applyAlignment="1">
      <alignment vertical="center" wrapText="1"/>
    </xf>
    <xf numFmtId="4" fontId="5" fillId="0" borderId="22" xfId="0" applyNumberFormat="1" applyFont="1" applyBorder="1" applyAlignment="1">
      <alignment horizontal="center" vertical="center" wrapText="1"/>
    </xf>
    <xf numFmtId="0" fontId="5" fillId="0" borderId="24" xfId="0" applyNumberFormat="1" applyFont="1" applyBorder="1" applyAlignment="1">
      <alignment horizontal="left" vertical="center" wrapText="1"/>
    </xf>
    <xf numFmtId="0" fontId="5" fillId="0" borderId="24" xfId="0" applyNumberFormat="1" applyFont="1" applyBorder="1" applyAlignment="1">
      <alignment horizontal="left" vertical="center" wrapText="1" indent="1"/>
    </xf>
    <xf numFmtId="4" fontId="5" fillId="12" borderId="24" xfId="0" applyNumberFormat="1" applyFont="1" applyFill="1" applyBorder="1" applyAlignment="1" applyProtection="1">
      <alignment horizontal="right" vertical="center" wrapText="1"/>
      <protection locked="0"/>
    </xf>
    <xf numFmtId="4" fontId="5" fillId="0" borderId="24" xfId="0" applyNumberFormat="1" applyFont="1" applyBorder="1" applyAlignment="1">
      <alignment horizontal="center" vertical="center" wrapText="1"/>
    </xf>
    <xf numFmtId="49" fontId="5" fillId="0" borderId="25" xfId="0" applyNumberFormat="1" applyFont="1" applyBorder="1" applyAlignment="1">
      <alignment horizontal="center" vertical="center" wrapText="1"/>
    </xf>
    <xf numFmtId="4" fontId="5" fillId="12" borderId="5" xfId="0" applyNumberFormat="1" applyFont="1" applyFill="1" applyBorder="1" applyAlignment="1" applyProtection="1">
      <alignment horizontal="right" vertical="center" wrapText="1"/>
      <protection locked="0"/>
    </xf>
    <xf numFmtId="4" fontId="5" fillId="12" borderId="25" xfId="0" applyNumberFormat="1" applyFont="1" applyFill="1" applyBorder="1" applyAlignment="1" applyProtection="1">
      <alignment horizontal="right" vertical="center" wrapText="1"/>
      <protection locked="0"/>
    </xf>
    <xf numFmtId="0" fontId="29" fillId="0" borderId="0" xfId="0" applyNumberFormat="1" applyFont="1" applyAlignment="1">
      <alignment horizontal="left" vertical="center" wrapText="1"/>
    </xf>
    <xf numFmtId="0" fontId="30" fillId="0" borderId="0" xfId="0" applyNumberFormat="1" applyFont="1" applyAlignment="1">
      <alignment horizontal="left" vertical="center" wrapText="1"/>
    </xf>
    <xf numFmtId="0" fontId="36" fillId="0" borderId="0" xfId="0" applyNumberFormat="1" applyFont="1" applyAlignment="1">
      <alignment horizontal="left" vertical="center" wrapText="1"/>
    </xf>
    <xf numFmtId="0" fontId="14" fillId="0" borderId="0" xfId="0" applyNumberFormat="1" applyFont="1" applyAlignment="1">
      <alignment horizontal="left" vertical="center" wrapText="1"/>
    </xf>
    <xf numFmtId="49" fontId="5" fillId="0" borderId="0" xfId="0" applyNumberFormat="1" applyFont="1" applyAlignment="1">
      <alignment horizontal="center" vertical="center" wrapText="1"/>
    </xf>
    <xf numFmtId="0" fontId="66" fillId="0" borderId="0" xfId="0" applyNumberFormat="1" applyFont="1" applyAlignment="1">
      <alignment vertical="center" wrapText="1"/>
    </xf>
    <xf numFmtId="0" fontId="30" fillId="0" borderId="0" xfId="0" applyNumberFormat="1" applyFont="1" applyAlignment="1">
      <alignment vertical="center" wrapText="1"/>
    </xf>
    <xf numFmtId="0" fontId="36" fillId="0" borderId="0" xfId="0" applyNumberFormat="1" applyFont="1" applyAlignment="1">
      <alignment vertical="center" wrapText="1"/>
    </xf>
    <xf numFmtId="0" fontId="14" fillId="0" borderId="0" xfId="0" applyNumberFormat="1" applyFont="1" applyAlignment="1">
      <alignment vertical="center" wrapText="1"/>
    </xf>
    <xf numFmtId="49" fontId="32" fillId="0" borderId="0" xfId="0" applyNumberFormat="1" applyFont="1" applyAlignment="1">
      <alignment horizontal="center" vertical="center"/>
    </xf>
    <xf numFmtId="0" fontId="5" fillId="0" borderId="0" xfId="0" applyNumberFormat="1" applyFont="1" applyAlignment="1">
      <alignment vertical="center" wrapText="1"/>
    </xf>
    <xf numFmtId="4" fontId="5" fillId="0" borderId="26" xfId="0" applyNumberFormat="1" applyFont="1" applyBorder="1" applyAlignment="1">
      <alignment horizontal="center" vertical="center" wrapText="1"/>
    </xf>
    <xf numFmtId="4" fontId="5" fillId="12" borderId="26" xfId="0" applyNumberFormat="1" applyFont="1" applyFill="1" applyBorder="1" applyAlignment="1" applyProtection="1">
      <alignment horizontal="right" vertical="center" wrapText="1"/>
      <protection locked="0"/>
    </xf>
    <xf numFmtId="4" fontId="5" fillId="12" borderId="14" xfId="0" applyNumberFormat="1" applyFont="1" applyFill="1" applyBorder="1" applyAlignment="1" applyProtection="1">
      <alignment horizontal="right" vertical="center" wrapText="1"/>
      <protection locked="0"/>
    </xf>
    <xf numFmtId="49" fontId="5" fillId="0" borderId="24" xfId="0" applyNumberFormat="1" applyFont="1" applyBorder="1" applyAlignment="1">
      <alignment horizontal="center" vertical="center" wrapText="1"/>
    </xf>
    <xf numFmtId="0" fontId="5" fillId="0" borderId="26" xfId="0" applyNumberFormat="1" applyFont="1" applyBorder="1" applyAlignment="1">
      <alignment horizontal="left" vertical="center" wrapText="1"/>
    </xf>
    <xf numFmtId="0" fontId="5" fillId="0" borderId="11" xfId="0" applyNumberFormat="1" applyFont="1" applyBorder="1" applyAlignment="1">
      <alignment vertical="center" wrapText="1"/>
    </xf>
    <xf numFmtId="0" fontId="19" fillId="0" borderId="0" xfId="0" applyNumberFormat="1" applyFont="1" applyAlignment="1">
      <alignment horizontal="center" vertical="center" wrapText="1"/>
    </xf>
    <xf numFmtId="0" fontId="5" fillId="10" borderId="6" xfId="0" applyNumberFormat="1" applyFont="1" applyFill="1" applyBorder="1" applyAlignment="1">
      <alignment vertical="center" wrapText="1"/>
    </xf>
    <xf numFmtId="0" fontId="29" fillId="10" borderId="4" xfId="0" applyNumberFormat="1" applyFont="1" applyFill="1" applyBorder="1" applyAlignment="1">
      <alignment vertical="center" wrapText="1"/>
    </xf>
    <xf numFmtId="166" fontId="5" fillId="7" borderId="3" xfId="0" applyNumberFormat="1" applyFont="1" applyFill="1" applyBorder="1" applyAlignment="1">
      <alignment horizontal="right" vertical="center" wrapText="1"/>
    </xf>
    <xf numFmtId="0" fontId="0" fillId="0" borderId="0" xfId="0" applyNumberFormat="1" applyFont="1" applyAlignment="1">
      <alignment vertical="center"/>
    </xf>
    <xf numFmtId="4" fontId="5" fillId="9" borderId="3" xfId="0" applyNumberFormat="1" applyFont="1" applyFill="1" applyBorder="1" applyAlignment="1" applyProtection="1">
      <alignment horizontal="right" vertical="center" wrapText="1"/>
      <protection locked="0"/>
    </xf>
    <xf numFmtId="0" fontId="55" fillId="8" borderId="0" xfId="0" applyNumberFormat="1" applyFont="1" applyFill="1" applyAlignment="1">
      <alignment horizontal="right" vertical="center"/>
    </xf>
    <xf numFmtId="49" fontId="0" fillId="0" borderId="3" xfId="0" applyNumberFormat="1" applyFont="1" applyBorder="1">
      <alignment vertical="top"/>
    </xf>
    <xf numFmtId="0" fontId="5" fillId="0" borderId="5" xfId="0" applyNumberFormat="1" applyFont="1" applyBorder="1" applyAlignment="1">
      <alignment horizontal="center" vertical="center" wrapText="1"/>
    </xf>
    <xf numFmtId="49" fontId="0" fillId="5" borderId="8" xfId="0" applyNumberFormat="1" applyFont="1" applyFill="1" applyBorder="1">
      <alignment vertical="top"/>
    </xf>
    <xf numFmtId="0" fontId="5" fillId="0" borderId="0" xfId="0" applyNumberFormat="1" applyFont="1" applyAlignment="1">
      <alignment vertical="center" wrapText="1"/>
    </xf>
    <xf numFmtId="0" fontId="14"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49" fontId="0" fillId="0" borderId="5" xfId="0" applyNumberFormat="1" applyFont="1" applyBorder="1">
      <alignment vertical="top"/>
    </xf>
    <xf numFmtId="49" fontId="0" fillId="0" borderId="5" xfId="0" applyNumberFormat="1" applyFont="1" applyBorder="1" applyAlignment="1">
      <alignment horizontal="center" vertical="top"/>
    </xf>
    <xf numFmtId="49" fontId="0" fillId="0" borderId="6" xfId="0" applyNumberFormat="1" applyFont="1" applyBorder="1" applyAlignment="1">
      <alignment horizontal="center" vertical="top"/>
    </xf>
    <xf numFmtId="49" fontId="0" fillId="0" borderId="0" xfId="0" applyNumberFormat="1" applyFont="1">
      <alignment vertical="top"/>
    </xf>
    <xf numFmtId="0" fontId="5" fillId="0" borderId="0" xfId="0" applyNumberFormat="1" applyFont="1" applyAlignment="1">
      <alignment horizontal="center" vertical="center" wrapText="1"/>
    </xf>
    <xf numFmtId="0" fontId="32" fillId="8" borderId="0" xfId="0" applyNumberFormat="1" applyFont="1" applyFill="1" applyAlignment="1">
      <alignment vertical="center" wrapText="1"/>
    </xf>
    <xf numFmtId="0" fontId="35" fillId="0" borderId="0" xfId="0" applyNumberFormat="1" applyFont="1" applyAlignment="1">
      <alignment horizontal="left" vertical="center" indent="1"/>
    </xf>
    <xf numFmtId="0" fontId="0" fillId="8" borderId="0" xfId="0" applyNumberFormat="1" applyFont="1" applyFill="1" applyAlignment="1">
      <alignment horizontal="right" vertical="center" wrapText="1" indent="1"/>
    </xf>
    <xf numFmtId="0" fontId="0" fillId="8" borderId="0" xfId="0" applyNumberFormat="1" applyFont="1" applyFill="1" applyAlignment="1">
      <alignment horizontal="left" vertical="center" wrapText="1" indent="1"/>
    </xf>
    <xf numFmtId="14" fontId="5" fillId="8" borderId="0" xfId="0" applyNumberFormat="1" applyFont="1" applyFill="1" applyAlignment="1">
      <alignment horizontal="center" vertical="center" wrapText="1"/>
    </xf>
    <xf numFmtId="164" fontId="5" fillId="0" borderId="5" xfId="0" applyNumberFormat="1" applyFont="1" applyBorder="1" applyAlignment="1">
      <alignment horizontal="center" vertical="center" wrapText="1"/>
    </xf>
    <xf numFmtId="49" fontId="18" fillId="0" borderId="6"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4" xfId="0" applyNumberFormat="1" applyFont="1" applyBorder="1" applyAlignment="1">
      <alignment horizontal="center" vertical="center" wrapText="1"/>
    </xf>
    <xf numFmtId="0" fontId="19"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0" fontId="73" fillId="0" borderId="0" xfId="0" applyNumberFormat="1" applyFont="1" applyAlignment="1">
      <alignment horizontal="left" vertical="center" wrapText="1"/>
    </xf>
    <xf numFmtId="14" fontId="73" fillId="8" borderId="0" xfId="0" applyNumberFormat="1" applyFont="1" applyFill="1" applyAlignment="1">
      <alignment horizontal="left" vertical="center" wrapText="1"/>
    </xf>
    <xf numFmtId="14" fontId="74"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14" fontId="75" fillId="0" borderId="3" xfId="0" applyNumberFormat="1" applyFont="1" applyBorder="1" applyAlignment="1">
      <alignment horizontal="left" vertical="center" wrapText="1"/>
    </xf>
    <xf numFmtId="0" fontId="30" fillId="0" borderId="0" xfId="0" applyNumberFormat="1" applyFont="1" applyAlignment="1">
      <alignment vertical="center"/>
    </xf>
    <xf numFmtId="49" fontId="5" fillId="10" borderId="10" xfId="0" applyNumberFormat="1" applyFont="1" applyFill="1" applyBorder="1" applyAlignment="1">
      <alignment horizontal="center" vertical="center" wrapText="1"/>
    </xf>
    <xf numFmtId="49" fontId="5" fillId="7" borderId="14" xfId="0" applyNumberFormat="1" applyFont="1" applyFill="1" applyBorder="1" applyAlignment="1">
      <alignment horizontal="center" vertical="center" wrapText="1"/>
    </xf>
    <xf numFmtId="49" fontId="29" fillId="0" borderId="3" xfId="0" applyNumberFormat="1" applyFont="1" applyBorder="1" applyAlignment="1">
      <alignment horizontal="left" vertical="center" wrapText="1"/>
    </xf>
    <xf numFmtId="14" fontId="5" fillId="13" borderId="14" xfId="0" applyNumberFormat="1" applyFont="1" applyFill="1" applyBorder="1" applyAlignment="1">
      <alignment horizontal="left" vertical="center" wrapText="1" indent="1"/>
    </xf>
    <xf numFmtId="49" fontId="5" fillId="10" borderId="5" xfId="0" applyNumberFormat="1" applyFont="1" applyFill="1" applyBorder="1" applyAlignment="1">
      <alignment horizontal="right" vertical="center" wrapText="1"/>
    </xf>
    <xf numFmtId="0" fontId="30" fillId="0" borderId="14" xfId="0" applyNumberFormat="1" applyFont="1" applyBorder="1" applyAlignment="1">
      <alignment horizontal="center" vertical="center" wrapText="1"/>
    </xf>
    <xf numFmtId="49" fontId="5" fillId="0" borderId="4" xfId="0" applyNumberFormat="1" applyFont="1" applyBorder="1" applyAlignment="1">
      <alignment horizontal="center" vertical="top"/>
    </xf>
    <xf numFmtId="49" fontId="5" fillId="0" borderId="3" xfId="0" applyNumberFormat="1" applyFont="1" applyBorder="1" applyAlignment="1">
      <alignment horizontal="center" vertical="top"/>
    </xf>
    <xf numFmtId="0" fontId="5" fillId="0" borderId="14" xfId="0" applyNumberFormat="1" applyFont="1" applyBorder="1" applyAlignment="1">
      <alignment horizontal="center" vertical="center" wrapText="1"/>
    </xf>
    <xf numFmtId="49" fontId="5" fillId="0" borderId="5" xfId="0" applyNumberFormat="1" applyFont="1" applyBorder="1" applyAlignment="1">
      <alignment horizontal="center" vertical="top"/>
    </xf>
    <xf numFmtId="0" fontId="18" fillId="0" borderId="15" xfId="0" applyNumberFormat="1" applyFont="1" applyBorder="1" applyAlignment="1">
      <alignment vertical="top" wrapText="1"/>
    </xf>
    <xf numFmtId="0" fontId="18" fillId="0" borderId="0" xfId="0" applyNumberFormat="1" applyFont="1" applyAlignment="1">
      <alignment vertical="top" wrapText="1"/>
    </xf>
    <xf numFmtId="0" fontId="30" fillId="0" borderId="3" xfId="0" applyNumberFormat="1" applyFont="1" applyBorder="1" applyAlignment="1">
      <alignment horizontal="center" vertical="center" wrapText="1"/>
    </xf>
    <xf numFmtId="0" fontId="29" fillId="0" borderId="14" xfId="0" applyNumberFormat="1" applyFont="1" applyBorder="1" applyAlignment="1">
      <alignment horizontal="center" vertical="center" wrapText="1"/>
    </xf>
    <xf numFmtId="0" fontId="30" fillId="0" borderId="3" xfId="0" applyNumberFormat="1" applyFont="1" applyBorder="1" applyAlignment="1">
      <alignment horizontal="center" vertical="center"/>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49" fontId="57" fillId="12" borderId="3" xfId="0" applyNumberFormat="1" applyFont="1" applyFill="1" applyBorder="1" applyAlignment="1" applyProtection="1">
      <alignment horizontal="left" vertical="center" wrapText="1" indent="1"/>
      <protection locked="0"/>
    </xf>
    <xf numFmtId="0" fontId="29" fillId="0" borderId="13" xfId="0" applyNumberFormat="1" applyFont="1" applyBorder="1" applyAlignment="1">
      <alignment vertical="center"/>
    </xf>
    <xf numFmtId="0" fontId="5"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3" fontId="5" fillId="9" borderId="5" xfId="0" applyNumberFormat="1" applyFont="1" applyFill="1" applyBorder="1" applyAlignment="1" applyProtection="1">
      <alignment horizontal="right" vertical="center" wrapText="1"/>
      <protection locked="0"/>
    </xf>
    <xf numFmtId="49" fontId="35" fillId="9" borderId="3" xfId="0" applyNumberFormat="1" applyFont="1" applyFill="1" applyBorder="1" applyAlignment="1" applyProtection="1">
      <alignment horizontal="left" vertical="center" wrapText="1"/>
      <protection locked="0"/>
    </xf>
    <xf numFmtId="0" fontId="35"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19" fillId="8" borderId="0" xfId="0" applyNumberFormat="1" applyFont="1" applyFill="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49" fontId="18" fillId="8" borderId="6" xfId="0" applyNumberFormat="1" applyFont="1" applyFill="1" applyBorder="1" applyAlignment="1">
      <alignment horizontal="center" vertical="center" wrapText="1"/>
    </xf>
    <xf numFmtId="0" fontId="5" fillId="0" borderId="0" xfId="0" applyNumberFormat="1" applyFont="1" applyAlignment="1">
      <alignment horizontal="left" vertical="center" wrapText="1" indent="1"/>
    </xf>
    <xf numFmtId="0" fontId="63" fillId="0" borderId="8" xfId="0" applyNumberFormat="1" applyFont="1" applyBorder="1" applyAlignment="1">
      <alignment horizontal="center" vertical="center" wrapText="1"/>
    </xf>
    <xf numFmtId="49" fontId="29" fillId="0" borderId="0" xfId="0" applyNumberFormat="1" applyFont="1">
      <alignment vertical="top"/>
    </xf>
    <xf numFmtId="0" fontId="76" fillId="0" borderId="0" xfId="0" applyNumberFormat="1" applyFont="1" applyAlignment="1">
      <alignment vertical="center" wrapText="1"/>
    </xf>
    <xf numFmtId="0" fontId="0" fillId="0" borderId="0" xfId="0" applyNumberFormat="1" applyFont="1">
      <alignment vertical="top"/>
    </xf>
    <xf numFmtId="49" fontId="0" fillId="0" borderId="3" xfId="0" applyNumberFormat="1" applyFont="1" applyBorder="1">
      <alignment vertical="top"/>
    </xf>
    <xf numFmtId="49" fontId="5" fillId="0" borderId="0" xfId="0" applyNumberFormat="1" applyFont="1">
      <alignment vertical="top"/>
    </xf>
    <xf numFmtId="0" fontId="5" fillId="0" borderId="3" xfId="0" applyNumberFormat="1" applyFont="1" applyBorder="1" applyAlignment="1">
      <alignment horizontal="left" vertical="top" wrapText="1"/>
    </xf>
    <xf numFmtId="49" fontId="73" fillId="14" borderId="3" xfId="0" applyNumberFormat="1" applyFont="1" applyFill="1" applyBorder="1" applyAlignment="1">
      <alignment horizontal="center" vertical="top" wrapText="1"/>
    </xf>
    <xf numFmtId="49" fontId="77" fillId="0" borderId="3" xfId="0" applyNumberFormat="1" applyFont="1" applyBorder="1" applyAlignment="1">
      <alignment horizontal="left" vertical="top" wrapText="1"/>
    </xf>
    <xf numFmtId="0" fontId="77" fillId="0" borderId="3" xfId="0" applyNumberFormat="1" applyFont="1" applyBorder="1" applyAlignment="1">
      <alignment horizontal="left" vertical="top" wrapText="1"/>
    </xf>
    <xf numFmtId="0" fontId="77" fillId="14" borderId="3" xfId="0" applyNumberFormat="1" applyFont="1" applyFill="1" applyBorder="1" applyAlignment="1">
      <alignment horizontal="right" vertical="center" wrapText="1"/>
    </xf>
    <xf numFmtId="49" fontId="77" fillId="0" borderId="3" xfId="0" applyNumberFormat="1" applyFont="1" applyBorder="1" applyAlignment="1">
      <alignment vertical="top" wrapText="1"/>
    </xf>
    <xf numFmtId="0" fontId="77" fillId="0" borderId="8" xfId="0" applyNumberFormat="1" applyFont="1" applyBorder="1" applyAlignment="1">
      <alignment horizontal="left" vertical="top" wrapText="1"/>
    </xf>
    <xf numFmtId="0" fontId="77" fillId="0" borderId="4" xfId="0" applyNumberFormat="1" applyFont="1" applyBorder="1" applyAlignment="1">
      <alignment horizontal="left" vertical="top" wrapText="1"/>
    </xf>
    <xf numFmtId="0" fontId="77" fillId="0" borderId="3" xfId="0" applyNumberFormat="1" applyFont="1" applyBorder="1" applyAlignment="1">
      <alignment vertical="top" wrapText="1"/>
    </xf>
    <xf numFmtId="0" fontId="73" fillId="14" borderId="3" xfId="0" applyNumberFormat="1" applyFont="1" applyFill="1" applyBorder="1" applyAlignment="1">
      <alignment horizontal="center" vertical="top" wrapText="1"/>
    </xf>
    <xf numFmtId="0" fontId="72" fillId="0" borderId="0" xfId="0" applyNumberFormat="1" applyFont="1" applyAlignment="1">
      <alignment vertical="center" wrapText="1"/>
    </xf>
    <xf numFmtId="0" fontId="28" fillId="0" borderId="0" xfId="0" applyNumberFormat="1" applyFont="1" applyAlignment="1">
      <alignment horizontal="left" vertical="center" wrapText="1" indent="3"/>
    </xf>
    <xf numFmtId="3" fontId="0" fillId="0" borderId="4" xfId="0" applyNumberFormat="1" applyFont="1" applyBorder="1" applyAlignment="1">
      <alignment horizontal="right" vertical="center" wrapText="1"/>
    </xf>
    <xf numFmtId="0" fontId="5" fillId="13" borderId="5" xfId="0" applyNumberFormat="1" applyFont="1" applyFill="1" applyBorder="1" applyAlignment="1">
      <alignment horizontal="left" vertical="center" wrapText="1"/>
    </xf>
    <xf numFmtId="49" fontId="18" fillId="8" borderId="3" xfId="0" applyNumberFormat="1" applyFont="1" applyFill="1" applyBorder="1" applyAlignment="1">
      <alignment horizontal="center" vertical="center" wrapText="1"/>
    </xf>
    <xf numFmtId="49" fontId="55" fillId="10" borderId="4" xfId="0" applyNumberFormat="1" applyFont="1" applyFill="1" applyBorder="1" applyAlignment="1">
      <alignment vertical="center"/>
    </xf>
    <xf numFmtId="49" fontId="5" fillId="8" borderId="0" xfId="0" applyNumberFormat="1" applyFont="1" applyFill="1" applyAlignment="1">
      <alignment horizontal="center" vertical="center" wrapText="1"/>
    </xf>
    <xf numFmtId="0" fontId="5" fillId="8" borderId="0" xfId="0" applyNumberFormat="1" applyFont="1" applyFill="1" applyAlignment="1">
      <alignment horizontal="center" vertical="top" wrapText="1"/>
    </xf>
    <xf numFmtId="49" fontId="0" fillId="12" borderId="3" xfId="0" applyNumberFormat="1" applyFont="1" applyFill="1" applyBorder="1" applyAlignment="1" applyProtection="1">
      <alignment horizontal="left" vertical="center" wrapText="1" indent="1"/>
      <protection locked="0"/>
    </xf>
    <xf numFmtId="49" fontId="5" fillId="12" borderId="5" xfId="0" applyNumberFormat="1" applyFont="1" applyFill="1" applyBorder="1" applyAlignment="1" applyProtection="1">
      <alignment horizontal="left" vertical="center" wrapText="1"/>
      <protection locked="0"/>
    </xf>
    <xf numFmtId="49" fontId="5" fillId="12" borderId="3" xfId="0" quotePrefix="1" applyNumberFormat="1" applyFont="1" applyFill="1" applyBorder="1" applyAlignment="1" applyProtection="1">
      <alignment horizontal="left" vertical="center" wrapText="1"/>
      <protection locked="0"/>
    </xf>
    <xf numFmtId="14" fontId="5" fillId="13" borderId="14" xfId="0" applyNumberFormat="1" applyFont="1" applyFill="1" applyBorder="1" applyAlignment="1">
      <alignment horizontal="left" vertical="center" wrapText="1"/>
    </xf>
    <xf numFmtId="0" fontId="30" fillId="8" borderId="14" xfId="0" applyNumberFormat="1" applyFont="1" applyFill="1" applyBorder="1" applyAlignment="1">
      <alignment horizontal="center" vertical="center" wrapText="1"/>
    </xf>
    <xf numFmtId="0" fontId="19" fillId="8" borderId="15" xfId="0" applyNumberFormat="1" applyFont="1" applyFill="1" applyBorder="1" applyAlignment="1">
      <alignment vertical="top" wrapText="1"/>
    </xf>
    <xf numFmtId="0" fontId="19" fillId="8" borderId="0" xfId="0" applyNumberFormat="1" applyFont="1" applyFill="1" applyAlignment="1">
      <alignment vertical="top" wrapText="1"/>
    </xf>
    <xf numFmtId="14" fontId="5" fillId="13" borderId="20" xfId="0" applyNumberFormat="1" applyFont="1" applyFill="1" applyBorder="1" applyAlignment="1">
      <alignment horizontal="left" vertical="center" wrapText="1"/>
    </xf>
    <xf numFmtId="0" fontId="30" fillId="8" borderId="3" xfId="0" applyNumberFormat="1" applyFont="1" applyFill="1" applyBorder="1" applyAlignment="1">
      <alignment horizontal="center" vertical="center" wrapText="1"/>
    </xf>
    <xf numFmtId="0" fontId="22" fillId="10" borderId="6" xfId="0" applyNumberFormat="1" applyFont="1" applyFill="1" applyBorder="1" applyAlignment="1">
      <alignment vertical="center"/>
    </xf>
    <xf numFmtId="0" fontId="31" fillId="0" borderId="0" xfId="0" applyNumberFormat="1" applyFont="1" applyAlignment="1">
      <alignment vertical="center"/>
    </xf>
    <xf numFmtId="0" fontId="30" fillId="0" borderId="0" xfId="0" applyNumberFormat="1" applyFont="1" applyAlignment="1">
      <alignment vertical="center" wrapText="1"/>
    </xf>
    <xf numFmtId="49" fontId="29" fillId="0" borderId="0" xfId="0" applyNumberFormat="1" applyFont="1" applyAlignment="1">
      <alignment vertical="center" wrapText="1"/>
    </xf>
    <xf numFmtId="49" fontId="29" fillId="0" borderId="0" xfId="0" applyNumberFormat="1" applyFont="1">
      <alignment vertical="top"/>
    </xf>
    <xf numFmtId="0" fontId="70" fillId="0" borderId="0" xfId="0" applyNumberFormat="1" applyFont="1" applyAlignment="1">
      <alignment vertical="center" wrapText="1"/>
    </xf>
    <xf numFmtId="0" fontId="78" fillId="0" borderId="0" xfId="0" applyNumberFormat="1" applyFont="1" applyAlignment="1">
      <alignment vertical="center" wrapText="1"/>
    </xf>
    <xf numFmtId="0" fontId="29" fillId="0" borderId="0" xfId="0" applyNumberFormat="1" applyFont="1" applyAlignment="1">
      <alignment vertical="center" wrapText="1"/>
    </xf>
    <xf numFmtId="0" fontId="70" fillId="0" borderId="0" xfId="0" applyNumberFormat="1" applyFont="1" applyAlignment="1">
      <alignment horizontal="center" vertical="center" wrapText="1"/>
    </xf>
    <xf numFmtId="0" fontId="29" fillId="0" borderId="0" xfId="0" applyNumberFormat="1" applyFont="1" applyAlignment="1">
      <alignment vertical="center" wrapText="1"/>
    </xf>
    <xf numFmtId="14" fontId="5" fillId="8" borderId="0" xfId="0" applyNumberFormat="1" applyFont="1" applyFill="1" applyAlignment="1">
      <alignment horizontal="left" vertical="center" wrapText="1"/>
    </xf>
    <xf numFmtId="49" fontId="0" fillId="0" borderId="3" xfId="0" applyNumberFormat="1" applyFont="1" applyBorder="1" applyAlignment="1">
      <alignment horizontal="left" vertical="center"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0" fontId="0" fillId="8" borderId="3" xfId="0" applyNumberFormat="1" applyFont="1" applyFill="1" applyBorder="1" applyAlignment="1">
      <alignment horizontal="center" vertical="center" wrapText="1"/>
    </xf>
    <xf numFmtId="0" fontId="0" fillId="12" borderId="5" xfId="0" applyNumberFormat="1" applyFont="1" applyFill="1" applyBorder="1" applyAlignment="1" applyProtection="1">
      <alignment horizontal="left" vertical="center" wrapText="1" indent="2"/>
      <protection locked="0"/>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79" fillId="8" borderId="0" xfId="0" applyNumberFormat="1" applyFont="1" applyFill="1" applyAlignment="1">
      <alignment horizontal="right" vertical="center"/>
    </xf>
    <xf numFmtId="49" fontId="77" fillId="0" borderId="4" xfId="0" applyNumberFormat="1" applyFont="1" applyBorder="1" applyAlignment="1">
      <alignment horizontal="left" vertical="top" wrapText="1"/>
    </xf>
    <xf numFmtId="49" fontId="77" fillId="0" borderId="5" xfId="0" applyNumberFormat="1" applyFont="1" applyBorder="1" applyAlignment="1">
      <alignment horizontal="left" vertical="top" wrapText="1"/>
    </xf>
    <xf numFmtId="0" fontId="77" fillId="0" borderId="8" xfId="0" applyNumberFormat="1" applyFont="1" applyBorder="1" applyAlignment="1">
      <alignment vertical="top" wrapText="1"/>
    </xf>
    <xf numFmtId="0" fontId="77" fillId="0" borderId="27" xfId="0" applyNumberFormat="1" applyFont="1" applyBorder="1" applyAlignment="1">
      <alignment horizontal="left" vertical="top" wrapText="1"/>
    </xf>
    <xf numFmtId="49" fontId="77" fillId="0" borderId="21" xfId="0" applyNumberFormat="1" applyFont="1" applyBorder="1" applyAlignment="1">
      <alignment horizontal="left" vertical="top" wrapText="1"/>
    </xf>
    <xf numFmtId="49" fontId="29" fillId="0" borderId="0" xfId="0" applyNumberFormat="1" applyFont="1" applyAlignment="1">
      <alignment horizontal="center" vertical="center" wrapText="1"/>
    </xf>
    <xf numFmtId="49" fontId="30"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22" fillId="10" borderId="5" xfId="0" applyNumberFormat="1" applyFont="1" applyFill="1" applyBorder="1" applyAlignment="1">
      <alignment horizontal="left" vertical="center" indent="1"/>
    </xf>
    <xf numFmtId="0" fontId="0" fillId="8" borderId="8"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49" fontId="80" fillId="0" borderId="0" xfId="0" applyNumberFormat="1" applyFont="1" applyAlignment="1">
      <alignment horizontal="center" vertical="center" wrapText="1"/>
    </xf>
    <xf numFmtId="0" fontId="5"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0" fontId="5" fillId="0" borderId="29" xfId="0" applyNumberFormat="1" applyFont="1" applyBorder="1" applyAlignment="1">
      <alignment vertical="center" wrapText="1"/>
    </xf>
    <xf numFmtId="0" fontId="29"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49" fontId="5" fillId="0" borderId="0" xfId="0" applyNumberFormat="1" applyFont="1">
      <alignment vertical="top"/>
    </xf>
    <xf numFmtId="0" fontId="5" fillId="0" borderId="0" xfId="0" applyNumberFormat="1" applyFont="1" applyAlignment="1">
      <alignment vertical="center"/>
    </xf>
    <xf numFmtId="0" fontId="0" fillId="8" borderId="8" xfId="0" applyNumberFormat="1" applyFont="1" applyFill="1" applyBorder="1" applyAlignment="1">
      <alignment horizontal="center" vertical="center" wrapText="1"/>
    </xf>
    <xf numFmtId="0" fontId="0" fillId="8" borderId="28" xfId="0" applyNumberFormat="1" applyFont="1" applyFill="1" applyBorder="1" applyAlignment="1">
      <alignment horizontal="center" vertical="center" wrapText="1"/>
    </xf>
    <xf numFmtId="0" fontId="5" fillId="10" borderId="20" xfId="0" applyNumberFormat="1" applyFont="1" applyFill="1" applyBorder="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32" fillId="8" borderId="30" xfId="0" applyNumberFormat="1" applyFont="1" applyFill="1" applyBorder="1" applyAlignment="1">
      <alignment horizontal="center" wrapText="1"/>
    </xf>
    <xf numFmtId="49" fontId="55" fillId="0" borderId="30" xfId="0" applyNumberFormat="1" applyFont="1" applyBorder="1">
      <alignment vertical="top"/>
    </xf>
    <xf numFmtId="49" fontId="27" fillId="0" borderId="0" xfId="0" applyNumberFormat="1" applyFont="1" applyAlignment="1">
      <alignment vertical="center"/>
    </xf>
    <xf numFmtId="49" fontId="81" fillId="0" borderId="0" xfId="0" applyNumberFormat="1" applyFont="1" applyAlignment="1">
      <alignment vertical="center"/>
    </xf>
    <xf numFmtId="49" fontId="27" fillId="0" borderId="0" xfId="0" applyNumberFormat="1" applyFont="1" applyAlignment="1">
      <alignment vertical="center"/>
    </xf>
    <xf numFmtId="49" fontId="27" fillId="0" borderId="0" xfId="0" applyNumberFormat="1" applyFont="1" applyAlignment="1">
      <alignment vertical="center"/>
    </xf>
    <xf numFmtId="49" fontId="27" fillId="0" borderId="0" xfId="0" applyNumberFormat="1" applyFont="1" applyAlignment="1">
      <alignment vertical="center" wrapText="1"/>
    </xf>
    <xf numFmtId="49" fontId="81" fillId="0" borderId="0" xfId="0" applyNumberFormat="1" applyFont="1" applyAlignment="1">
      <alignment vertical="center" wrapText="1"/>
    </xf>
    <xf numFmtId="49" fontId="27" fillId="0" borderId="0" xfId="0" applyNumberFormat="1" applyFont="1" applyAlignment="1">
      <alignment vertical="center" wrapText="1"/>
    </xf>
    <xf numFmtId="49" fontId="27" fillId="0" borderId="0" xfId="0" applyNumberFormat="1" applyFont="1">
      <alignment vertical="top"/>
    </xf>
    <xf numFmtId="49" fontId="27" fillId="0" borderId="0" xfId="0" applyNumberFormat="1" applyFont="1" applyAlignment="1">
      <alignment vertical="center" wrapText="1"/>
    </xf>
    <xf numFmtId="49" fontId="27"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49" fontId="27"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0" fontId="27" fillId="0" borderId="0" xfId="0" applyNumberFormat="1" applyFont="1" applyAlignment="1">
      <alignment horizontal="center" vertical="center" wrapText="1"/>
    </xf>
    <xf numFmtId="49" fontId="81" fillId="0" borderId="0" xfId="0" applyNumberFormat="1" applyFont="1" applyAlignment="1">
      <alignment vertical="center" wrapText="1"/>
    </xf>
    <xf numFmtId="49" fontId="27" fillId="8" borderId="0" xfId="0" applyNumberFormat="1" applyFont="1" applyFill="1" applyAlignment="1">
      <alignment vertical="center" wrapText="1"/>
    </xf>
    <xf numFmtId="49" fontId="27" fillId="0" borderId="0" xfId="0" applyNumberFormat="1" applyFont="1">
      <alignment vertical="top"/>
    </xf>
    <xf numFmtId="49" fontId="27" fillId="8" borderId="0" xfId="0" applyNumberFormat="1" applyFont="1" applyFill="1" applyAlignment="1">
      <alignment vertical="center"/>
    </xf>
    <xf numFmtId="49" fontId="81" fillId="0" borderId="0" xfId="0" applyNumberFormat="1" applyFont="1" applyAlignment="1">
      <alignment vertical="center"/>
    </xf>
    <xf numFmtId="49" fontId="27" fillId="0" borderId="0" xfId="0" applyNumberFormat="1" applyFont="1">
      <alignment vertical="top"/>
    </xf>
    <xf numFmtId="4" fontId="27" fillId="8" borderId="0" xfId="0" applyNumberFormat="1" applyFont="1" applyFill="1" applyAlignment="1">
      <alignment vertical="center"/>
    </xf>
    <xf numFmtId="49" fontId="14"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8" borderId="0" xfId="0" applyNumberFormat="1" applyFont="1" applyFill="1" applyAlignment="1">
      <alignment horizontal="center" vertical="center" wrapText="1"/>
    </xf>
    <xf numFmtId="49" fontId="30" fillId="0" borderId="4" xfId="0" applyNumberFormat="1" applyFont="1" applyBorder="1" applyAlignment="1">
      <alignment horizontal="left" vertical="center" indent="1"/>
    </xf>
    <xf numFmtId="0" fontId="5" fillId="0" borderId="15" xfId="0" applyNumberFormat="1" applyFont="1" applyBorder="1" applyAlignment="1">
      <alignment vertical="top" wrapText="1"/>
    </xf>
    <xf numFmtId="0" fontId="5" fillId="0" borderId="5"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9" fillId="0" borderId="0" xfId="0" applyNumberFormat="1" applyFont="1" applyAlignment="1">
      <alignment horizontal="center" vertical="center" wrapText="1"/>
    </xf>
    <xf numFmtId="49" fontId="30"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indent="1"/>
    </xf>
    <xf numFmtId="49" fontId="5" fillId="12" borderId="3" xfId="0" applyNumberFormat="1" applyFont="1" applyFill="1" applyBorder="1" applyAlignment="1" applyProtection="1">
      <alignment horizontal="left" vertical="center" wrapText="1"/>
      <protection locked="0"/>
    </xf>
    <xf numFmtId="0" fontId="19" fillId="0" borderId="0" xfId="0" applyNumberFormat="1" applyFont="1" applyAlignment="1">
      <alignment horizontal="center" vertical="center" wrapText="1"/>
    </xf>
    <xf numFmtId="49" fontId="73" fillId="0" borderId="3" xfId="0" applyNumberFormat="1" applyFont="1" applyBorder="1" applyAlignment="1">
      <alignment horizontal="center" vertical="center" wrapText="1"/>
    </xf>
    <xf numFmtId="0" fontId="73" fillId="0" borderId="3" xfId="0" applyNumberFormat="1" applyFont="1" applyBorder="1" applyAlignment="1">
      <alignment horizontal="center" vertical="center" wrapText="1"/>
    </xf>
    <xf numFmtId="49" fontId="73" fillId="0" borderId="8" xfId="0" applyNumberFormat="1" applyFont="1" applyBorder="1" applyAlignment="1">
      <alignment horizontal="center" vertical="center" wrapText="1"/>
    </xf>
    <xf numFmtId="49" fontId="73" fillId="0" borderId="14" xfId="0" applyNumberFormat="1" applyFont="1" applyBorder="1" applyAlignment="1">
      <alignment horizontal="center" vertical="center" wrapText="1"/>
    </xf>
    <xf numFmtId="0" fontId="73" fillId="0" borderId="8" xfId="0" applyNumberFormat="1" applyFont="1" applyBorder="1" applyAlignment="1">
      <alignment horizontal="center" vertical="center" wrapText="1"/>
    </xf>
    <xf numFmtId="49" fontId="77" fillId="0" borderId="13" xfId="0" applyNumberFormat="1" applyFont="1" applyBorder="1" applyAlignment="1">
      <alignment horizontal="center" vertical="top" wrapText="1"/>
    </xf>
    <xf numFmtId="49" fontId="77" fillId="0" borderId="27" xfId="0" applyNumberFormat="1" applyFont="1" applyBorder="1" applyAlignment="1">
      <alignment horizontal="left" vertical="top" wrapText="1"/>
    </xf>
    <xf numFmtId="0" fontId="73" fillId="0" borderId="3" xfId="0" applyNumberFormat="1" applyFont="1" applyBorder="1" applyAlignment="1">
      <alignment vertical="center" wrapText="1"/>
    </xf>
    <xf numFmtId="0" fontId="73" fillId="0" borderId="8" xfId="0" applyNumberFormat="1" applyFont="1" applyBorder="1" applyAlignment="1">
      <alignment vertical="center" wrapText="1"/>
    </xf>
    <xf numFmtId="0" fontId="73" fillId="0" borderId="14" xfId="0" applyNumberFormat="1" applyFont="1" applyBorder="1" applyAlignment="1">
      <alignment vertical="center" wrapText="1"/>
    </xf>
    <xf numFmtId="49" fontId="73" fillId="0" borderId="3" xfId="0" applyNumberFormat="1" applyFont="1" applyBorder="1" applyAlignment="1">
      <alignment horizontal="left" vertical="top" wrapText="1"/>
    </xf>
    <xf numFmtId="166" fontId="5" fillId="12" borderId="8"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49" fontId="5" fillId="10" borderId="28" xfId="0" applyNumberFormat="1" applyFont="1" applyFill="1" applyBorder="1" applyAlignment="1">
      <alignment vertical="center" wrapText="1"/>
    </xf>
    <xf numFmtId="49" fontId="22" fillId="10" borderId="10" xfId="0" applyNumberFormat="1" applyFont="1" applyFill="1" applyBorder="1" applyAlignment="1">
      <alignment horizontal="left" vertical="center" indent="1"/>
    </xf>
    <xf numFmtId="49" fontId="5" fillId="10" borderId="28" xfId="0" applyNumberFormat="1" applyFont="1" applyFill="1" applyBorder="1" applyAlignment="1">
      <alignment vertical="center" wrapText="1"/>
    </xf>
    <xf numFmtId="49" fontId="22" fillId="10" borderId="10" xfId="0" applyNumberFormat="1" applyFont="1" applyFill="1" applyBorder="1" applyAlignment="1">
      <alignment horizontal="left" vertical="center" indent="1"/>
    </xf>
    <xf numFmtId="0" fontId="54" fillId="0" borderId="0" xfId="0" applyNumberFormat="1" applyFont="1" applyAlignment="1">
      <alignment horizontal="center" vertical="center" wrapText="1"/>
    </xf>
    <xf numFmtId="4" fontId="5" fillId="12" borderId="4" xfId="0" applyNumberFormat="1" applyFont="1" applyFill="1" applyBorder="1" applyAlignment="1" applyProtection="1">
      <alignment horizontal="right" vertical="center" wrapText="1"/>
      <protection locked="0"/>
    </xf>
    <xf numFmtId="166" fontId="5" fillId="12" borderId="4" xfId="0" applyNumberFormat="1" applyFont="1" applyFill="1" applyBorder="1" applyAlignment="1" applyProtection="1">
      <alignment horizontal="right" vertical="center" wrapText="1"/>
      <protection locked="0"/>
    </xf>
    <xf numFmtId="166" fontId="5" fillId="7" borderId="4" xfId="0" applyNumberFormat="1" applyFont="1" applyFill="1" applyBorder="1" applyAlignment="1">
      <alignment horizontal="right" vertical="center" wrapText="1"/>
    </xf>
    <xf numFmtId="4" fontId="5" fillId="12" borderId="20" xfId="0" applyNumberFormat="1" applyFont="1" applyFill="1" applyBorder="1" applyAlignment="1" applyProtection="1">
      <alignment horizontal="right" vertical="center" wrapText="1"/>
      <protection locked="0"/>
    </xf>
    <xf numFmtId="49" fontId="73" fillId="14" borderId="3" xfId="0" applyNumberFormat="1" applyFont="1" applyFill="1" applyBorder="1" applyAlignment="1">
      <alignment horizontal="center" vertical="top"/>
    </xf>
    <xf numFmtId="49" fontId="73" fillId="0" borderId="3" xfId="0" applyNumberFormat="1" applyFont="1" applyBorder="1" applyAlignment="1">
      <alignment horizontal="center" vertical="top" wrapText="1"/>
    </xf>
    <xf numFmtId="49" fontId="73" fillId="0" borderId="3" xfId="0" applyNumberFormat="1" applyFont="1" applyBorder="1" applyAlignment="1">
      <alignment vertical="top" wrapText="1"/>
    </xf>
    <xf numFmtId="0" fontId="73" fillId="0" borderId="3" xfId="0" applyNumberFormat="1" applyFont="1" applyBorder="1" applyAlignment="1">
      <alignment vertical="top" wrapText="1"/>
    </xf>
    <xf numFmtId="49" fontId="73" fillId="0" borderId="3" xfId="0" applyNumberFormat="1" applyFont="1" applyBorder="1">
      <alignment vertical="top"/>
    </xf>
    <xf numFmtId="49" fontId="77" fillId="0" borderId="3" xfId="0" applyNumberFormat="1" applyFont="1" applyBorder="1">
      <alignment vertical="top"/>
    </xf>
    <xf numFmtId="49" fontId="73" fillId="0" borderId="0" xfId="0" applyNumberFormat="1" applyFont="1" applyAlignment="1">
      <alignment horizontal="center" vertical="center" wrapText="1"/>
    </xf>
    <xf numFmtId="49" fontId="73" fillId="0" borderId="0" xfId="0" applyNumberFormat="1" applyFont="1" applyAlignment="1">
      <alignment horizontal="left" vertical="center" wrapText="1"/>
    </xf>
    <xf numFmtId="49" fontId="73" fillId="19" borderId="0" xfId="0" applyNumberFormat="1" applyFont="1" applyFill="1" applyAlignment="1">
      <alignment horizontal="center" vertical="center" wrapText="1"/>
    </xf>
    <xf numFmtId="0" fontId="73" fillId="0" borderId="0" xfId="0" applyNumberFormat="1" applyFont="1" applyAlignment="1">
      <alignment vertical="center" wrapText="1"/>
    </xf>
    <xf numFmtId="0" fontId="30" fillId="0" borderId="3" xfId="0" applyNumberFormat="1" applyFont="1" applyBorder="1" applyAlignment="1">
      <alignment horizontal="left" vertical="center" wrapText="1" indent="3"/>
    </xf>
    <xf numFmtId="49" fontId="30" fillId="0" borderId="3" xfId="0" applyNumberFormat="1" applyFont="1" applyBorder="1" applyAlignment="1">
      <alignment vertical="center" wrapText="1"/>
    </xf>
    <xf numFmtId="0" fontId="30" fillId="0" borderId="8" xfId="0" applyNumberFormat="1" applyFont="1" applyBorder="1" applyAlignment="1">
      <alignment vertical="top" wrapText="1"/>
    </xf>
    <xf numFmtId="0" fontId="30" fillId="0" borderId="27" xfId="0" applyNumberFormat="1" applyFont="1" applyBorder="1" applyAlignment="1">
      <alignment horizontal="left" vertical="center" wrapText="1" indent="1"/>
    </xf>
    <xf numFmtId="0" fontId="30" fillId="0" borderId="27" xfId="0" applyNumberFormat="1" applyFont="1" applyBorder="1" applyAlignment="1">
      <alignment horizontal="center" vertical="center" wrapText="1"/>
    </xf>
    <xf numFmtId="0" fontId="30" fillId="0" borderId="8" xfId="0" applyNumberFormat="1" applyFont="1" applyBorder="1" applyAlignment="1">
      <alignment vertical="center" wrapText="1"/>
    </xf>
    <xf numFmtId="0" fontId="30" fillId="0" borderId="14" xfId="0" applyNumberFormat="1" applyFont="1" applyBorder="1" applyAlignment="1">
      <alignment horizontal="left" vertical="center" wrapText="1" indent="1"/>
    </xf>
    <xf numFmtId="0" fontId="30" fillId="0" borderId="8" xfId="0" applyNumberFormat="1" applyFont="1" applyBorder="1" applyAlignment="1">
      <alignment horizontal="left" vertical="center" wrapText="1" indent="1"/>
    </xf>
    <xf numFmtId="49" fontId="77" fillId="14" borderId="3" xfId="0" applyNumberFormat="1" applyFont="1" applyFill="1" applyBorder="1" applyAlignment="1">
      <alignment horizontal="center" vertical="top" wrapText="1"/>
    </xf>
    <xf numFmtId="49" fontId="77" fillId="14" borderId="3" xfId="0" applyNumberFormat="1" applyFont="1" applyFill="1" applyBorder="1" applyAlignment="1">
      <alignment horizontal="left" vertical="top" wrapText="1"/>
    </xf>
    <xf numFmtId="0" fontId="73" fillId="0" borderId="5" xfId="0" applyNumberFormat="1" applyFont="1" applyBorder="1" applyAlignment="1">
      <alignment horizontal="center" vertical="center" wrapText="1"/>
    </xf>
    <xf numFmtId="0" fontId="5" fillId="0" borderId="14" xfId="0" applyNumberFormat="1" applyFont="1" applyBorder="1" applyAlignment="1">
      <alignment vertical="top" wrapText="1"/>
    </xf>
    <xf numFmtId="0" fontId="5" fillId="0" borderId="14" xfId="0" applyNumberFormat="1" applyFont="1" applyBorder="1" applyAlignment="1">
      <alignment vertical="top" wrapText="1"/>
    </xf>
    <xf numFmtId="0" fontId="73" fillId="0" borderId="5" xfId="0" applyNumberFormat="1" applyFont="1" applyBorder="1" applyAlignment="1">
      <alignment horizontal="center" vertical="center"/>
    </xf>
    <xf numFmtId="49" fontId="30" fillId="8" borderId="3" xfId="0" applyNumberFormat="1" applyFont="1" applyFill="1" applyBorder="1" applyAlignment="1">
      <alignment horizontal="center" vertical="center"/>
    </xf>
    <xf numFmtId="0" fontId="30" fillId="8" borderId="3" xfId="0" applyNumberFormat="1" applyFont="1" applyFill="1" applyBorder="1" applyAlignment="1">
      <alignment horizontal="left" vertical="center" wrapText="1" indent="1"/>
    </xf>
    <xf numFmtId="0" fontId="30" fillId="8" borderId="3" xfId="0" applyNumberFormat="1" applyFont="1" applyFill="1" applyBorder="1" applyAlignment="1">
      <alignment vertical="center" wrapText="1"/>
    </xf>
    <xf numFmtId="49" fontId="30" fillId="0" borderId="3" xfId="0" applyNumberFormat="1" applyFont="1" applyBorder="1" applyAlignment="1">
      <alignment horizontal="center" vertical="center"/>
    </xf>
    <xf numFmtId="0" fontId="30" fillId="0" borderId="3" xfId="0" applyNumberFormat="1" applyFont="1" applyBorder="1" applyAlignment="1">
      <alignment horizontal="left" vertical="center" wrapText="1" indent="1"/>
    </xf>
    <xf numFmtId="0" fontId="30" fillId="0" borderId="3" xfId="0" applyNumberFormat="1" applyFont="1" applyBorder="1" applyAlignment="1">
      <alignment horizontal="left" vertical="center" wrapText="1"/>
    </xf>
    <xf numFmtId="0" fontId="30" fillId="0" borderId="3" xfId="0" applyNumberFormat="1" applyFont="1" applyBorder="1" applyAlignment="1">
      <alignment vertical="center" wrapText="1"/>
    </xf>
    <xf numFmtId="0" fontId="30" fillId="0" borderId="3" xfId="0" applyNumberFormat="1" applyFont="1" applyBorder="1" applyAlignment="1">
      <alignment horizontal="center" vertical="center" wrapText="1"/>
    </xf>
    <xf numFmtId="0" fontId="30" fillId="8" borderId="3" xfId="0" applyNumberFormat="1" applyFont="1" applyFill="1" applyBorder="1" applyAlignment="1">
      <alignment horizontal="left" vertical="center" wrapText="1" indent="2"/>
    </xf>
    <xf numFmtId="49" fontId="30" fillId="0" borderId="3" xfId="0" applyNumberFormat="1" applyFont="1" applyBorder="1" applyAlignment="1">
      <alignment horizontal="left" vertical="center" wrapText="1"/>
    </xf>
    <xf numFmtId="49" fontId="30" fillId="0" borderId="3" xfId="0" applyNumberFormat="1" applyFont="1" applyBorder="1" applyAlignment="1">
      <alignment horizontal="left" vertical="center" wrapText="1"/>
    </xf>
    <xf numFmtId="2" fontId="5" fillId="0" borderId="14" xfId="0" applyNumberFormat="1" applyFont="1" applyBorder="1" applyAlignment="1">
      <alignment horizontal="center" vertical="center" wrapText="1"/>
    </xf>
    <xf numFmtId="0" fontId="82" fillId="0" borderId="0" xfId="0" applyNumberFormat="1" applyFont="1" applyAlignment="1">
      <alignment horizontal="center" vertical="center" wrapText="1"/>
    </xf>
    <xf numFmtId="0" fontId="83" fillId="8" borderId="0" xfId="0" applyNumberFormat="1" applyFont="1" applyFill="1" applyAlignment="1">
      <alignment horizontal="right" vertical="center"/>
    </xf>
    <xf numFmtId="0" fontId="5" fillId="0" borderId="14" xfId="0" applyNumberFormat="1" applyFont="1" applyBorder="1" applyAlignment="1">
      <alignment horizontal="left" vertical="center" wrapText="1"/>
    </xf>
    <xf numFmtId="49" fontId="29" fillId="0" borderId="0" xfId="0" applyNumberFormat="1" applyFont="1" applyAlignment="1">
      <alignment horizontal="center" vertical="center" wrapText="1"/>
    </xf>
    <xf numFmtId="0" fontId="30" fillId="0" borderId="18" xfId="0" applyNumberFormat="1" applyFont="1" applyBorder="1" applyAlignment="1">
      <alignment vertical="center" wrapText="1"/>
    </xf>
    <xf numFmtId="49" fontId="35" fillId="0" borderId="5" xfId="0" applyNumberFormat="1" applyFont="1" applyBorder="1" applyAlignment="1">
      <alignment horizontal="left" vertical="center" wrapText="1"/>
    </xf>
    <xf numFmtId="49" fontId="35" fillId="0" borderId="6" xfId="0" applyNumberFormat="1" applyFont="1" applyBorder="1" applyAlignment="1">
      <alignment horizontal="left" vertical="center" wrapText="1"/>
    </xf>
    <xf numFmtId="49" fontId="30" fillId="0" borderId="0" xfId="0" applyNumberFormat="1" applyFont="1" applyAlignment="1">
      <alignment horizontal="center" vertical="center" wrapText="1"/>
    </xf>
    <xf numFmtId="0" fontId="30" fillId="0" borderId="0" xfId="0" applyNumberFormat="1" applyFont="1" applyAlignment="1">
      <alignment horizontal="center" vertical="center" wrapText="1"/>
    </xf>
    <xf numFmtId="4" fontId="5" fillId="0" borderId="8" xfId="0" applyNumberFormat="1" applyFont="1" applyBorder="1" applyAlignment="1">
      <alignment horizontal="center" vertical="center" wrapText="1"/>
    </xf>
    <xf numFmtId="4" fontId="5" fillId="0" borderId="23" xfId="0" applyNumberFormat="1" applyFont="1" applyBorder="1" applyAlignment="1">
      <alignment horizontal="center" vertical="center" wrapText="1"/>
    </xf>
    <xf numFmtId="49" fontId="35" fillId="0" borderId="28" xfId="0" applyNumberFormat="1" applyFont="1" applyBorder="1" applyAlignment="1">
      <alignment horizontal="left" vertical="center" wrapText="1"/>
    </xf>
    <xf numFmtId="49" fontId="35" fillId="0" borderId="21" xfId="0" applyNumberFormat="1" applyFont="1" applyBorder="1" applyAlignment="1">
      <alignment horizontal="left" vertical="center" wrapText="1"/>
    </xf>
    <xf numFmtId="0" fontId="5" fillId="0" borderId="27" xfId="0" applyNumberFormat="1" applyFont="1" applyBorder="1" applyAlignment="1">
      <alignment vertical="center" wrapText="1"/>
    </xf>
    <xf numFmtId="0" fontId="5" fillId="0" borderId="23" xfId="0" applyNumberFormat="1" applyFont="1" applyBorder="1" applyAlignment="1">
      <alignment horizontal="left" vertical="center" wrapText="1"/>
    </xf>
    <xf numFmtId="49" fontId="29" fillId="0" borderId="0" xfId="0" applyNumberFormat="1" applyFont="1" applyAlignment="1">
      <alignment horizontal="center" vertical="center" wrapText="1"/>
    </xf>
    <xf numFmtId="0" fontId="5" fillId="0" borderId="0" xfId="0" applyNumberFormat="1" applyFont="1" applyAlignment="1">
      <alignment vertical="top" wrapText="1"/>
    </xf>
    <xf numFmtId="0" fontId="5" fillId="0" borderId="0" xfId="0" applyNumberFormat="1" applyFont="1">
      <alignment vertical="top"/>
    </xf>
    <xf numFmtId="4" fontId="5" fillId="0" borderId="31" xfId="0" applyNumberFormat="1" applyFont="1" applyBorder="1" applyAlignment="1">
      <alignment horizontal="center" vertical="center" wrapText="1"/>
    </xf>
    <xf numFmtId="0" fontId="30" fillId="0" borderId="0" xfId="0" applyNumberFormat="1" applyFont="1" applyAlignment="1">
      <alignment horizontal="center" vertical="top"/>
    </xf>
    <xf numFmtId="49" fontId="30" fillId="0" borderId="0" xfId="0" applyNumberFormat="1" applyFont="1">
      <alignment vertical="top"/>
    </xf>
    <xf numFmtId="0" fontId="30" fillId="0" borderId="14" xfId="0" applyNumberFormat="1" applyFont="1" applyBorder="1" applyAlignment="1">
      <alignment vertical="center" wrapText="1"/>
    </xf>
    <xf numFmtId="4" fontId="30" fillId="0" borderId="3" xfId="0" applyNumberFormat="1" applyFont="1" applyBorder="1" applyAlignment="1">
      <alignment horizontal="right" vertical="center" wrapText="1"/>
    </xf>
    <xf numFmtId="2" fontId="30" fillId="0" borderId="14" xfId="0" applyNumberFormat="1" applyFont="1" applyBorder="1" applyAlignment="1">
      <alignment horizontal="center" vertical="center" wrapText="1"/>
    </xf>
    <xf numFmtId="0" fontId="30" fillId="0" borderId="3" xfId="0" applyNumberFormat="1" applyFont="1" applyBorder="1" applyAlignment="1">
      <alignment horizontal="left" vertical="center" wrapText="1"/>
    </xf>
    <xf numFmtId="49" fontId="30" fillId="0" borderId="5" xfId="0" applyNumberFormat="1" applyFont="1" applyBorder="1" applyAlignment="1">
      <alignment horizontal="left" vertical="center"/>
    </xf>
    <xf numFmtId="49" fontId="30" fillId="0" borderId="6" xfId="0" applyNumberFormat="1" applyFont="1" applyBorder="1" applyAlignment="1">
      <alignment horizontal="left" vertical="center" indent="1"/>
    </xf>
    <xf numFmtId="49" fontId="30" fillId="0" borderId="6" xfId="0" applyNumberFormat="1" applyFont="1" applyBorder="1" applyAlignment="1">
      <alignment horizontal="left" vertical="center"/>
    </xf>
    <xf numFmtId="0" fontId="30" fillId="0" borderId="3" xfId="0" applyNumberFormat="1" applyFont="1" applyBorder="1" applyAlignment="1">
      <alignment horizontal="left" vertical="center" indent="1"/>
    </xf>
    <xf numFmtId="49" fontId="22" fillId="0" borderId="10" xfId="0" applyNumberFormat="1" applyFont="1" applyBorder="1" applyAlignment="1">
      <alignment horizontal="right" vertical="center"/>
    </xf>
    <xf numFmtId="0" fontId="5" fillId="13"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30"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30" fillId="0" borderId="0" xfId="0" applyNumberFormat="1" applyFont="1" applyAlignment="1">
      <alignment horizontal="center" vertical="center" wrapText="1"/>
    </xf>
    <xf numFmtId="0" fontId="43" fillId="8" borderId="0" xfId="0" applyNumberFormat="1" applyFont="1" applyFill="1" applyAlignment="1">
      <alignment horizontal="left" vertical="center" wrapText="1" indent="1"/>
    </xf>
    <xf numFmtId="0" fontId="5" fillId="0" borderId="0" xfId="0" applyNumberFormat="1" applyFont="1" applyAlignment="1">
      <alignment horizontal="left" vertical="center" wrapText="1" indent="1"/>
    </xf>
    <xf numFmtId="49" fontId="35" fillId="9" borderId="4" xfId="0" applyNumberFormat="1" applyFont="1" applyFill="1" applyBorder="1" applyAlignment="1" applyProtection="1">
      <alignment horizontal="left" vertical="center" wrapText="1"/>
      <protection locked="0"/>
    </xf>
    <xf numFmtId="49" fontId="5" fillId="0" borderId="0" xfId="0" applyNumberFormat="1" applyFont="1" applyAlignment="1">
      <alignment horizontal="center" vertical="center" wrapText="1"/>
    </xf>
    <xf numFmtId="0" fontId="5" fillId="0" borderId="10" xfId="0" applyNumberFormat="1" applyFont="1" applyBorder="1" applyAlignment="1">
      <alignment vertical="center" wrapText="1"/>
    </xf>
    <xf numFmtId="0" fontId="5" fillId="0" borderId="18" xfId="0" applyNumberFormat="1" applyFont="1" applyBorder="1" applyAlignment="1">
      <alignment vertical="center" wrapText="1"/>
    </xf>
    <xf numFmtId="49" fontId="5" fillId="10" borderId="32" xfId="0" applyNumberFormat="1" applyFont="1" applyFill="1" applyBorder="1" applyAlignment="1">
      <alignment horizontal="center" vertical="center" wrapText="1"/>
    </xf>
    <xf numFmtId="49" fontId="32" fillId="10" borderId="33" xfId="0" applyNumberFormat="1" applyFont="1" applyFill="1" applyBorder="1" applyAlignment="1">
      <alignment horizontal="right" vertical="center" wrapText="1"/>
    </xf>
    <xf numFmtId="49" fontId="32" fillId="10" borderId="34" xfId="0" applyNumberFormat="1" applyFont="1" applyFill="1" applyBorder="1" applyAlignment="1">
      <alignment horizontal="right" vertical="center" wrapText="1"/>
    </xf>
    <xf numFmtId="49" fontId="27" fillId="0" borderId="0" xfId="0" applyNumberFormat="1" applyFont="1">
      <alignment vertical="top"/>
    </xf>
    <xf numFmtId="49" fontId="27" fillId="0" borderId="0" xfId="0" applyNumberFormat="1" applyFont="1" applyAlignment="1">
      <alignment vertical="center" wrapText="1"/>
    </xf>
    <xf numFmtId="0" fontId="27" fillId="0" borderId="0" xfId="0" applyNumberFormat="1" applyFont="1" applyAlignment="1">
      <alignment vertical="center" wrapText="1"/>
    </xf>
    <xf numFmtId="49" fontId="76" fillId="0" borderId="0" xfId="0" applyNumberFormat="1" applyFont="1" applyAlignment="1">
      <alignment vertical="center" wrapText="1"/>
    </xf>
    <xf numFmtId="49" fontId="14"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0" fontId="0" fillId="22" borderId="3" xfId="0" applyNumberFormat="1" applyFont="1" applyFill="1" applyBorder="1" applyAlignment="1">
      <alignment horizontal="center" vertical="center"/>
    </xf>
    <xf numFmtId="49" fontId="0" fillId="0" borderId="0" xfId="0" applyNumberFormat="1" applyFont="1" applyAlignment="1">
      <alignment vertical="center"/>
    </xf>
    <xf numFmtId="49" fontId="29" fillId="20" borderId="3" xfId="0" applyNumberFormat="1" applyFont="1" applyFill="1" applyBorder="1" applyAlignment="1">
      <alignment horizontal="center" vertical="center"/>
    </xf>
    <xf numFmtId="49" fontId="29" fillId="23" borderId="3" xfId="0" applyNumberFormat="1" applyFont="1" applyFill="1" applyBorder="1" applyAlignment="1">
      <alignment horizontal="center" vertical="center"/>
    </xf>
    <xf numFmtId="49" fontId="0" fillId="24" borderId="3" xfId="0" applyNumberFormat="1" applyFont="1" applyFill="1" applyBorder="1" applyAlignment="1">
      <alignment horizontal="center" vertical="center"/>
    </xf>
    <xf numFmtId="49" fontId="5" fillId="0" borderId="0" xfId="0" applyNumberFormat="1" applyFont="1">
      <alignment vertical="top"/>
    </xf>
    <xf numFmtId="0" fontId="5"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5" xfId="0" applyNumberFormat="1" applyFont="1" applyBorder="1" applyAlignment="1">
      <alignment vertical="center"/>
    </xf>
    <xf numFmtId="0" fontId="0" fillId="0" borderId="5" xfId="0" applyNumberFormat="1" applyFont="1" applyBorder="1" applyAlignment="1">
      <alignment vertical="center"/>
    </xf>
    <xf numFmtId="49" fontId="5" fillId="0" borderId="35" xfId="0" applyNumberFormat="1" applyFont="1" applyBorder="1" applyAlignment="1">
      <alignment vertical="center"/>
    </xf>
    <xf numFmtId="49" fontId="5" fillId="0" borderId="36" xfId="0" applyNumberFormat="1" applyFont="1" applyBorder="1">
      <alignment vertical="top"/>
    </xf>
    <xf numFmtId="0" fontId="0" fillId="0" borderId="4" xfId="0" applyNumberFormat="1" applyFont="1" applyBorder="1" applyAlignment="1">
      <alignment vertical="center"/>
    </xf>
    <xf numFmtId="0" fontId="0" fillId="0" borderId="3" xfId="0" applyNumberFormat="1" applyFont="1" applyBorder="1" applyAlignment="1">
      <alignment horizontal="right" vertical="top"/>
    </xf>
    <xf numFmtId="0" fontId="0" fillId="0" borderId="3" xfId="0" applyNumberFormat="1" applyFont="1" applyBorder="1">
      <alignment vertical="top"/>
    </xf>
    <xf numFmtId="0" fontId="5" fillId="0" borderId="4" xfId="0" applyNumberFormat="1" applyFont="1" applyBorder="1" applyAlignment="1">
      <alignment vertical="center"/>
    </xf>
    <xf numFmtId="49" fontId="5" fillId="0" borderId="3" xfId="0" applyNumberFormat="1" applyFont="1" applyBorder="1" applyAlignment="1">
      <alignment vertical="center"/>
    </xf>
    <xf numFmtId="0" fontId="0" fillId="0" borderId="0" xfId="0" applyNumberFormat="1" applyFont="1">
      <alignment vertical="top"/>
    </xf>
    <xf numFmtId="0" fontId="5" fillId="0" borderId="3" xfId="0" applyNumberFormat="1" applyFont="1" applyBorder="1">
      <alignment vertical="top"/>
    </xf>
    <xf numFmtId="49" fontId="5" fillId="0" borderId="3" xfId="0" applyNumberFormat="1" applyFont="1" applyBorder="1">
      <alignment vertical="top"/>
    </xf>
    <xf numFmtId="0" fontId="5" fillId="0" borderId="0" xfId="0" applyNumberFormat="1" applyFont="1" applyAlignment="1">
      <alignment vertical="center"/>
    </xf>
    <xf numFmtId="49" fontId="5" fillId="0" borderId="5" xfId="0" applyNumberFormat="1" applyFont="1" applyBorder="1">
      <alignment vertical="top"/>
    </xf>
    <xf numFmtId="0" fontId="0" fillId="0" borderId="0" xfId="0" applyNumberFormat="1" applyFont="1" applyAlignment="1">
      <alignment vertical="center"/>
    </xf>
    <xf numFmtId="0" fontId="5" fillId="0" borderId="0" xfId="0" applyNumberFormat="1" applyFont="1">
      <alignment vertical="top"/>
    </xf>
    <xf numFmtId="49" fontId="5" fillId="0" borderId="3" xfId="0" applyNumberFormat="1" applyFont="1" applyBorder="1">
      <alignment vertical="top"/>
    </xf>
    <xf numFmtId="49" fontId="0" fillId="0" borderId="5" xfId="0" applyNumberFormat="1" applyFont="1" applyBorder="1">
      <alignment vertical="top"/>
    </xf>
    <xf numFmtId="0" fontId="0" fillId="0" borderId="8" xfId="0" applyNumberFormat="1" applyFont="1" applyBorder="1">
      <alignment vertical="top"/>
    </xf>
    <xf numFmtId="0" fontId="5" fillId="0" borderId="8" xfId="0" applyNumberFormat="1" applyFont="1" applyBorder="1" applyAlignment="1">
      <alignment vertical="center"/>
    </xf>
    <xf numFmtId="49" fontId="5" fillId="0" borderId="22" xfId="0" applyNumberFormat="1" applyFont="1" applyBorder="1" applyAlignment="1">
      <alignment horizontal="center" vertical="center"/>
    </xf>
    <xf numFmtId="49" fontId="5" fillId="0" borderId="0" xfId="0" applyNumberFormat="1" applyFont="1">
      <alignment vertical="top"/>
    </xf>
    <xf numFmtId="49" fontId="0" fillId="9" borderId="22" xfId="0" applyNumberFormat="1" applyFont="1" applyFill="1" applyBorder="1" applyAlignment="1" applyProtection="1">
      <alignment horizontal="left" vertical="center"/>
      <protection locked="0"/>
    </xf>
    <xf numFmtId="49" fontId="0" fillId="0" borderId="3" xfId="0" applyNumberFormat="1" applyFont="1" applyBorder="1" applyAlignment="1">
      <alignment horizontal="center" vertical="center"/>
    </xf>
    <xf numFmtId="49" fontId="0" fillId="0" borderId="22" xfId="0" applyNumberFormat="1" applyFont="1" applyBorder="1" applyAlignment="1">
      <alignment horizontal="right" vertical="center"/>
    </xf>
    <xf numFmtId="0" fontId="0" fillId="7" borderId="22" xfId="0" applyNumberFormat="1" applyFont="1" applyFill="1" applyBorder="1" applyAlignment="1">
      <alignment horizontal="center" vertical="center"/>
    </xf>
    <xf numFmtId="49" fontId="0" fillId="0" borderId="22" xfId="0" applyNumberFormat="1" applyFont="1" applyBorder="1" applyAlignment="1">
      <alignment horizontal="center" vertical="center"/>
    </xf>
    <xf numFmtId="49" fontId="0" fillId="0" borderId="0" xfId="0" applyNumberFormat="1" applyFont="1" applyAlignment="1">
      <alignment horizontal="left" vertical="center"/>
    </xf>
    <xf numFmtId="0" fontId="0" fillId="0" borderId="0" xfId="0" applyNumberFormat="1" applyFont="1" applyAlignment="1">
      <alignment horizontal="center" vertical="center"/>
    </xf>
    <xf numFmtId="0" fontId="84" fillId="0" borderId="37" xfId="0" applyNumberFormat="1" applyFont="1" applyBorder="1" applyAlignment="1">
      <alignment horizontal="center" vertical="center"/>
    </xf>
    <xf numFmtId="0" fontId="0" fillId="0" borderId="37" xfId="0" applyNumberFormat="1" applyFont="1" applyBorder="1" applyAlignment="1">
      <alignment horizontal="center" vertical="center"/>
    </xf>
    <xf numFmtId="49" fontId="14" fillId="20" borderId="3" xfId="0" applyNumberFormat="1" applyFont="1" applyFill="1" applyBorder="1" applyAlignment="1">
      <alignment horizontal="right" vertical="center"/>
    </xf>
    <xf numFmtId="49" fontId="5" fillId="9" borderId="28" xfId="0" applyNumberFormat="1" applyFont="1" applyFill="1" applyBorder="1" applyProtection="1">
      <alignment vertical="top"/>
      <protection locked="0"/>
    </xf>
    <xf numFmtId="0" fontId="5" fillId="0" borderId="3" xfId="0" applyNumberFormat="1" applyFont="1" applyBorder="1">
      <alignment vertical="top"/>
    </xf>
    <xf numFmtId="49" fontId="5" fillId="14" borderId="14" xfId="0" applyNumberFormat="1" applyFont="1" applyFill="1" applyBorder="1">
      <alignment vertical="top"/>
    </xf>
    <xf numFmtId="49" fontId="5" fillId="14" borderId="3" xfId="0" applyNumberFormat="1" applyFont="1" applyFill="1" applyBorder="1">
      <alignment vertical="top"/>
    </xf>
    <xf numFmtId="0" fontId="0" fillId="0" borderId="23" xfId="0" applyNumberFormat="1" applyFont="1" applyBorder="1" applyAlignment="1">
      <alignment horizontal="center" vertical="center"/>
    </xf>
    <xf numFmtId="49" fontId="0" fillId="0" borderId="0" xfId="0" applyNumberFormat="1" applyFont="1" applyAlignment="1">
      <alignment vertical="center"/>
    </xf>
    <xf numFmtId="49" fontId="14" fillId="20" borderId="5" xfId="0" applyNumberFormat="1" applyFont="1" applyFill="1" applyBorder="1" applyAlignment="1">
      <alignment horizontal="right" vertical="center"/>
    </xf>
    <xf numFmtId="0" fontId="0" fillId="21" borderId="0" xfId="0" applyNumberFormat="1" applyFont="1" applyFill="1" applyAlignment="1">
      <alignment horizontal="right" vertical="center"/>
    </xf>
    <xf numFmtId="0" fontId="85" fillId="0" borderId="38" xfId="0" applyNumberFormat="1" applyFont="1" applyBorder="1" applyAlignment="1">
      <alignment horizontal="left" vertical="center" indent="1"/>
    </xf>
    <xf numFmtId="0" fontId="85" fillId="0" borderId="39" xfId="0" applyNumberFormat="1" applyFont="1" applyBorder="1" applyAlignment="1">
      <alignment horizontal="left" vertical="center" indent="1"/>
    </xf>
    <xf numFmtId="0" fontId="85" fillId="0" borderId="40" xfId="0" applyNumberFormat="1" applyFont="1" applyBorder="1" applyAlignment="1">
      <alignment horizontal="left" vertical="center" inden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4" fillId="0" borderId="0" xfId="0" applyNumberFormat="1" applyFont="1" applyAlignment="1">
      <alignment vertical="center" wrapText="1"/>
    </xf>
    <xf numFmtId="49" fontId="5" fillId="0" borderId="0" xfId="0" applyNumberFormat="1" applyFont="1">
      <alignment vertical="top"/>
    </xf>
    <xf numFmtId="0" fontId="29" fillId="0" borderId="0" xfId="0" applyNumberFormat="1" applyFont="1" applyAlignment="1">
      <alignment vertical="center" wrapText="1"/>
    </xf>
    <xf numFmtId="49" fontId="80" fillId="0" borderId="0" xfId="0" applyNumberFormat="1" applyFont="1" applyAlignment="1">
      <alignment horizontal="center"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32" fillId="8" borderId="30" xfId="0" applyNumberFormat="1" applyFont="1" applyFill="1" applyBorder="1" applyAlignment="1">
      <alignment horizontal="center" wrapText="1"/>
    </xf>
    <xf numFmtId="49" fontId="55" fillId="0" borderId="30" xfId="0" applyNumberFormat="1" applyFont="1" applyBorder="1">
      <alignment vertical="top"/>
    </xf>
    <xf numFmtId="0" fontId="0"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indent="3"/>
    </xf>
    <xf numFmtId="0" fontId="5" fillId="0" borderId="0" xfId="0" applyNumberFormat="1" applyFont="1" applyAlignment="1">
      <alignment horizontal="left" vertical="center" wrapText="1" indent="3"/>
    </xf>
    <xf numFmtId="0" fontId="5" fillId="0" borderId="0" xfId="0" applyNumberFormat="1" applyFont="1" applyAlignment="1">
      <alignment vertical="center" wrapText="1"/>
    </xf>
    <xf numFmtId="0" fontId="14" fillId="0" borderId="0" xfId="0" applyNumberFormat="1" applyFont="1" applyAlignment="1">
      <alignment vertical="center" wrapText="1"/>
    </xf>
    <xf numFmtId="49" fontId="5" fillId="0" borderId="0" xfId="0" applyNumberFormat="1" applyFont="1">
      <alignment vertical="top"/>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0" borderId="0" xfId="0" applyNumberFormat="1" applyFont="1" applyAlignment="1">
      <alignment vertical="center" wrapText="1"/>
    </xf>
    <xf numFmtId="0" fontId="14" fillId="0" borderId="0" xfId="0" applyNumberFormat="1" applyFont="1" applyAlignment="1">
      <alignment vertical="center" wrapText="1"/>
    </xf>
    <xf numFmtId="49" fontId="5" fillId="0" borderId="0" xfId="0" applyNumberFormat="1" applyFont="1">
      <alignment vertical="top"/>
    </xf>
    <xf numFmtId="0" fontId="29" fillId="0" borderId="0" xfId="0" applyNumberFormat="1" applyFont="1" applyAlignment="1">
      <alignmen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9" fillId="20"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14" fillId="0" borderId="0" xfId="0" applyNumberFormat="1" applyFont="1" applyAlignment="1">
      <alignment vertical="center" wrapText="1"/>
    </xf>
    <xf numFmtId="49" fontId="5" fillId="0" borderId="0" xfId="0" applyNumberFormat="1" applyFont="1">
      <alignment vertical="top"/>
    </xf>
    <xf numFmtId="49" fontId="86" fillId="0" borderId="7" xfId="0" applyNumberFormat="1" applyFont="1" applyBorder="1">
      <alignment vertical="top"/>
    </xf>
    <xf numFmtId="0" fontId="0" fillId="0" borderId="0" xfId="0" applyNumberFormat="1" applyFont="1">
      <alignment vertical="top"/>
    </xf>
    <xf numFmtId="0" fontId="29" fillId="0" borderId="0" xfId="0" applyNumberFormat="1" applyFont="1" applyAlignment="1">
      <alignment vertical="center" wrapText="1"/>
    </xf>
    <xf numFmtId="49" fontId="35" fillId="12" borderId="3" xfId="0" applyNumberFormat="1" applyFont="1" applyFill="1" applyBorder="1" applyAlignment="1" applyProtection="1">
      <alignment horizontal="left" vertical="center" wrapText="1"/>
      <protection locked="0"/>
    </xf>
    <xf numFmtId="0" fontId="5" fillId="0" borderId="5" xfId="0" applyNumberFormat="1" applyFont="1" applyBorder="1" applyAlignment="1">
      <alignment horizontal="left" vertical="center"/>
    </xf>
    <xf numFmtId="0" fontId="0" fillId="0" borderId="5" xfId="0" applyNumberFormat="1" applyFont="1" applyBorder="1" applyAlignment="1">
      <alignment horizontal="left" vertical="center"/>
    </xf>
    <xf numFmtId="49" fontId="35" fillId="12" borderId="3" xfId="0" applyNumberFormat="1" applyFont="1" applyFill="1" applyBorder="1" applyAlignment="1" applyProtection="1">
      <alignment horizontal="left" vertical="center" wrapText="1"/>
      <protection locked="0"/>
    </xf>
    <xf numFmtId="0" fontId="5" fillId="8" borderId="17" xfId="0" applyNumberFormat="1" applyFont="1" applyFill="1" applyBorder="1" applyAlignment="1">
      <alignment horizontal="right" vertical="center" wrapText="1" indent="1"/>
    </xf>
    <xf numFmtId="49" fontId="29" fillId="0" borderId="0" xfId="0" applyNumberFormat="1" applyFont="1" applyAlignment="1">
      <alignment horizontal="center" vertical="center" wrapText="1"/>
    </xf>
    <xf numFmtId="49" fontId="30" fillId="0" borderId="0" xfId="0" applyNumberFormat="1" applyFont="1" applyAlignment="1">
      <alignment horizontal="center" vertical="center" wrapText="1"/>
    </xf>
    <xf numFmtId="49" fontId="22" fillId="10" borderId="6" xfId="0" applyNumberFormat="1" applyFont="1" applyFill="1" applyBorder="1" applyAlignment="1">
      <alignment horizontal="left" vertical="center" indent="1"/>
    </xf>
    <xf numFmtId="4" fontId="5" fillId="12" borderId="22" xfId="0" applyNumberFormat="1" applyFont="1" applyFill="1" applyBorder="1" applyAlignment="1" applyProtection="1">
      <alignment horizontal="right" vertical="center" wrapText="1"/>
      <protection locked="0"/>
    </xf>
    <xf numFmtId="0" fontId="5" fillId="8" borderId="0" xfId="0" applyNumberFormat="1" applyFont="1" applyFill="1" applyAlignment="1">
      <alignment vertical="center" wrapText="1"/>
    </xf>
    <xf numFmtId="0" fontId="5" fillId="0" borderId="0" xfId="0" applyNumberFormat="1" applyFont="1" applyAlignment="1">
      <alignment vertical="center"/>
    </xf>
    <xf numFmtId="0" fontId="5" fillId="0" borderId="0" xfId="0" applyNumberFormat="1" applyFont="1" applyAlignment="1">
      <alignment vertical="center" wrapText="1"/>
    </xf>
    <xf numFmtId="0" fontId="5" fillId="10" borderId="41" xfId="0" applyNumberFormat="1" applyFont="1" applyFill="1" applyBorder="1" applyAlignment="1">
      <alignment vertical="center" wrapText="1"/>
    </xf>
    <xf numFmtId="0" fontId="5" fillId="10" borderId="42" xfId="0" applyNumberFormat="1" applyFont="1" applyFill="1" applyBorder="1" applyAlignment="1">
      <alignment vertical="center" wrapText="1"/>
    </xf>
    <xf numFmtId="49" fontId="87" fillId="10" borderId="5" xfId="0" applyNumberFormat="1" applyFont="1" applyFill="1" applyBorder="1" applyAlignment="1">
      <alignment horizontal="left" vertical="center" indent="1"/>
    </xf>
    <xf numFmtId="49" fontId="87" fillId="10" borderId="6" xfId="0" applyNumberFormat="1" applyFont="1" applyFill="1" applyBorder="1" applyAlignment="1">
      <alignment horizontal="left" vertical="center" indent="1"/>
    </xf>
    <xf numFmtId="49" fontId="76" fillId="10" borderId="34" xfId="0" applyNumberFormat="1" applyFont="1" applyFill="1" applyBorder="1" applyAlignment="1">
      <alignment horizontal="center" vertical="center"/>
    </xf>
    <xf numFmtId="49" fontId="87" fillId="10" borderId="34" xfId="0" applyNumberFormat="1" applyFont="1" applyFill="1" applyBorder="1" applyAlignment="1">
      <alignment horizontal="left" vertical="center" indent="1"/>
    </xf>
    <xf numFmtId="0" fontId="27" fillId="13" borderId="3" xfId="0" applyNumberFormat="1" applyFont="1" applyFill="1" applyBorder="1" applyAlignment="1">
      <alignment horizontal="left" vertical="center" wrapText="1" indent="1"/>
    </xf>
    <xf numFmtId="49" fontId="27" fillId="10" borderId="6" xfId="0" applyNumberFormat="1" applyFont="1" applyFill="1" applyBorder="1" applyAlignment="1">
      <alignment vertical="top" wrapText="1"/>
    </xf>
    <xf numFmtId="49" fontId="27" fillId="10" borderId="4" xfId="0" applyNumberFormat="1" applyFont="1" applyFill="1" applyBorder="1" applyAlignment="1">
      <alignment vertical="top" wrapText="1"/>
    </xf>
    <xf numFmtId="49" fontId="27" fillId="10" borderId="43" xfId="0" applyNumberFormat="1" applyFont="1" applyFill="1" applyBorder="1" applyAlignment="1">
      <alignment vertical="top" wrapText="1"/>
    </xf>
    <xf numFmtId="49" fontId="87" fillId="10" borderId="43" xfId="0" applyNumberFormat="1" applyFont="1" applyFill="1" applyBorder="1" applyAlignment="1">
      <alignment horizontal="left" vertical="center" indent="1"/>
    </xf>
    <xf numFmtId="0" fontId="5" fillId="8" borderId="30" xfId="0" applyNumberFormat="1" applyFont="1" applyFill="1" applyBorder="1" applyAlignment="1">
      <alignment vertical="center" wrapText="1"/>
    </xf>
    <xf numFmtId="0" fontId="0" fillId="0" borderId="40" xfId="0" applyNumberFormat="1" applyFont="1" applyBorder="1" applyAlignment="1">
      <alignment horizontal="left" vertical="center" wrapText="1"/>
    </xf>
    <xf numFmtId="0" fontId="5" fillId="0" borderId="40" xfId="0" applyNumberFormat="1" applyFont="1" applyBorder="1" applyAlignment="1">
      <alignment vertical="center" wrapText="1"/>
    </xf>
    <xf numFmtId="0" fontId="5" fillId="0" borderId="44" xfId="0" applyNumberFormat="1" applyFont="1" applyBorder="1" applyAlignment="1">
      <alignment vertical="center" wrapText="1"/>
    </xf>
    <xf numFmtId="0" fontId="5" fillId="0" borderId="45" xfId="0" applyNumberFormat="1" applyFont="1" applyBorder="1" applyAlignment="1">
      <alignment vertical="center" wrapText="1"/>
    </xf>
    <xf numFmtId="0" fontId="5" fillId="13" borderId="3" xfId="0" applyNumberFormat="1" applyFont="1" applyFill="1" applyBorder="1" applyAlignment="1">
      <alignment horizontal="left" vertical="center" wrapText="1" indent="1"/>
    </xf>
    <xf numFmtId="0" fontId="0" fillId="10" borderId="41" xfId="0" applyNumberFormat="1" applyFont="1" applyFill="1" applyBorder="1" applyAlignment="1">
      <alignment horizontal="left" vertical="center"/>
    </xf>
    <xf numFmtId="0" fontId="5" fillId="8" borderId="3" xfId="0" applyNumberFormat="1" applyFont="1" applyFill="1" applyBorder="1" applyAlignment="1">
      <alignment horizontal="center" vertical="center" wrapText="1"/>
    </xf>
    <xf numFmtId="49" fontId="18" fillId="0" borderId="3" xfId="0" applyNumberFormat="1" applyFont="1" applyBorder="1" applyAlignment="1">
      <alignment horizontal="center" vertical="center"/>
    </xf>
    <xf numFmtId="49" fontId="18" fillId="14" borderId="3" xfId="0" applyNumberFormat="1" applyFont="1" applyFill="1" applyBorder="1" applyAlignment="1">
      <alignment horizontal="center" vertical="center"/>
    </xf>
    <xf numFmtId="0" fontId="18" fillId="0" borderId="3" xfId="0" applyNumberFormat="1" applyFont="1" applyBorder="1" applyAlignment="1">
      <alignment horizontal="center" vertical="center"/>
    </xf>
    <xf numFmtId="49" fontId="18" fillId="0" borderId="14" xfId="0" applyNumberFormat="1" applyFont="1" applyBorder="1" applyAlignment="1">
      <alignment horizontal="center" vertical="center"/>
    </xf>
    <xf numFmtId="49" fontId="5" fillId="0" borderId="0" xfId="0" applyNumberFormat="1" applyFont="1" applyAlignment="1">
      <alignment vertical="center"/>
    </xf>
    <xf numFmtId="49" fontId="29" fillId="0" borderId="8"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right" vertical="center"/>
    </xf>
    <xf numFmtId="0" fontId="5" fillId="0" borderId="8" xfId="0" applyNumberFormat="1" applyFont="1" applyBorder="1" applyAlignment="1">
      <alignment horizontal="center" vertical="center"/>
    </xf>
    <xf numFmtId="0" fontId="5" fillId="0" borderId="3" xfId="0" applyNumberFormat="1" applyFont="1" applyBorder="1" applyAlignment="1">
      <alignment horizontal="right" vertical="center"/>
    </xf>
    <xf numFmtId="49" fontId="5" fillId="0" borderId="0" xfId="0" applyNumberFormat="1" applyFont="1" applyAlignment="1">
      <alignment vertical="center"/>
    </xf>
    <xf numFmtId="49" fontId="5" fillId="0" borderId="46" xfId="0" applyNumberFormat="1" applyFont="1" applyBorder="1" applyAlignment="1">
      <alignment horizontal="center" vertical="center"/>
    </xf>
    <xf numFmtId="0" fontId="5" fillId="0" borderId="46" xfId="0" applyNumberFormat="1" applyFont="1" applyBorder="1" applyAlignment="1">
      <alignment horizontal="right" vertical="center"/>
    </xf>
    <xf numFmtId="0" fontId="5" fillId="0" borderId="46" xfId="0" applyNumberFormat="1" applyFont="1" applyBorder="1" applyAlignment="1">
      <alignment horizontal="center" vertical="center"/>
    </xf>
    <xf numFmtId="0" fontId="5" fillId="0" borderId="6" xfId="0" applyNumberFormat="1" applyFont="1" applyBorder="1" applyAlignment="1">
      <alignment horizontal="right" vertical="center"/>
    </xf>
    <xf numFmtId="0" fontId="5" fillId="0" borderId="4" xfId="0" applyNumberFormat="1" applyFont="1" applyBorder="1" applyAlignment="1">
      <alignment horizontal="right" vertical="center"/>
    </xf>
    <xf numFmtId="0" fontId="5" fillId="8" borderId="3" xfId="0" applyNumberFormat="1" applyFont="1" applyFill="1" applyBorder="1" applyAlignment="1">
      <alignment horizontal="center" vertical="center"/>
    </xf>
    <xf numFmtId="0" fontId="5" fillId="13" borderId="3" xfId="0" applyNumberFormat="1" applyFont="1" applyFill="1" applyBorder="1" applyAlignment="1">
      <alignment horizontal="left" vertical="center" wrapText="1" indent="1"/>
    </xf>
    <xf numFmtId="0" fontId="5" fillId="12" borderId="3" xfId="0" applyNumberFormat="1" applyFont="1" applyFill="1" applyBorder="1" applyAlignment="1" applyProtection="1">
      <alignment horizontal="left" vertical="center" wrapText="1" indent="1"/>
      <protection locked="0"/>
    </xf>
    <xf numFmtId="0" fontId="5" fillId="14" borderId="3" xfId="0" applyNumberFormat="1" applyFont="1" applyFill="1" applyBorder="1" applyAlignment="1">
      <alignment horizontal="right" vertical="center"/>
    </xf>
    <xf numFmtId="4" fontId="5" fillId="9" borderId="3" xfId="0" applyNumberFormat="1" applyFont="1" applyFill="1" applyBorder="1" applyAlignment="1" applyProtection="1">
      <alignment horizontal="right" vertical="center"/>
      <protection locked="0"/>
    </xf>
    <xf numFmtId="49" fontId="22" fillId="10" borderId="47" xfId="0" applyNumberFormat="1" applyFont="1" applyFill="1" applyBorder="1" applyAlignment="1">
      <alignment horizontal="left" vertical="center" indent="1"/>
    </xf>
    <xf numFmtId="49" fontId="22" fillId="10" borderId="42" xfId="0" applyNumberFormat="1" applyFont="1" applyFill="1" applyBorder="1" applyAlignment="1">
      <alignment horizontal="left" vertical="center" indent="1"/>
    </xf>
    <xf numFmtId="49" fontId="22" fillId="25" borderId="4" xfId="0" applyNumberFormat="1" applyFont="1" applyFill="1" applyBorder="1" applyAlignment="1">
      <alignment horizontal="left" vertical="center" indent="1"/>
    </xf>
    <xf numFmtId="49" fontId="5" fillId="0" borderId="0" xfId="0" applyNumberFormat="1" applyFont="1">
      <alignment vertical="top"/>
    </xf>
    <xf numFmtId="0" fontId="5" fillId="21" borderId="0" xfId="0" applyNumberFormat="1" applyFont="1" applyFill="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30"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0" fontId="5" fillId="8" borderId="10" xfId="0" applyNumberFormat="1" applyFont="1" applyFill="1" applyBorder="1" applyAlignment="1">
      <alignment vertical="center" wrapText="1"/>
    </xf>
    <xf numFmtId="49" fontId="30" fillId="0" borderId="0" xfId="0" applyNumberFormat="1" applyFont="1">
      <alignment vertical="top"/>
    </xf>
    <xf numFmtId="0" fontId="30" fillId="0" borderId="30" xfId="0" applyNumberFormat="1" applyFont="1" applyBorder="1" applyAlignment="1">
      <alignment vertical="center" wrapText="1"/>
    </xf>
    <xf numFmtId="49"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wrapText="1"/>
    </xf>
    <xf numFmtId="49" fontId="0" fillId="7" borderId="3" xfId="0" applyNumberFormat="1" applyFont="1" applyFill="1" applyBorder="1" applyAlignment="1">
      <alignment horizontal="center" vertical="center"/>
    </xf>
    <xf numFmtId="49" fontId="5" fillId="0" borderId="13" xfId="0" applyNumberFormat="1" applyFont="1" applyBorder="1">
      <alignment vertical="top"/>
    </xf>
    <xf numFmtId="0" fontId="5" fillId="0" borderId="13" xfId="0" applyNumberFormat="1" applyFont="1" applyBorder="1" applyAlignment="1">
      <alignment vertical="center" wrapText="1"/>
    </xf>
    <xf numFmtId="4" fontId="0" fillId="9" borderId="3" xfId="0" applyNumberFormat="1" applyFont="1" applyFill="1" applyBorder="1" applyAlignment="1" applyProtection="1">
      <alignment horizontal="right" vertical="center" wrapText="1"/>
      <protection locked="0"/>
    </xf>
    <xf numFmtId="4" fontId="0" fillId="7" borderId="3" xfId="0" applyNumberFormat="1" applyFont="1" applyFill="1" applyBorder="1" applyAlignment="1">
      <alignment horizontal="right" vertical="center" wrapText="1"/>
    </xf>
    <xf numFmtId="49" fontId="0" fillId="0" borderId="3" xfId="0" applyNumberFormat="1" applyFont="1" applyBorder="1" applyAlignment="1">
      <alignment horizontal="left" vertical="center" wrapText="1" indent="2"/>
    </xf>
    <xf numFmtId="49" fontId="0" fillId="0" borderId="3" xfId="0" applyNumberFormat="1" applyFont="1" applyBorder="1" applyAlignment="1">
      <alignment horizontal="left" vertical="center" wrapText="1" indent="3"/>
    </xf>
    <xf numFmtId="49" fontId="0" fillId="0" borderId="3" xfId="0" applyNumberFormat="1" applyFont="1" applyBorder="1" applyAlignment="1">
      <alignment horizontal="left" vertical="center" wrapText="1"/>
    </xf>
    <xf numFmtId="0" fontId="5" fillId="0" borderId="29" xfId="0" applyNumberFormat="1" applyFont="1" applyBorder="1" applyAlignment="1">
      <alignment vertical="center"/>
    </xf>
    <xf numFmtId="49" fontId="22" fillId="10" borderId="6" xfId="0" applyNumberFormat="1" applyFont="1" applyFill="1" applyBorder="1" applyAlignment="1">
      <alignment horizontal="left" vertical="center" indent="1"/>
    </xf>
    <xf numFmtId="49" fontId="5" fillId="12" borderId="8" xfId="0" applyNumberFormat="1" applyFont="1" applyFill="1" applyBorder="1" applyAlignment="1" applyProtection="1">
      <alignment horizontal="left" vertical="center" wrapText="1" indent="1"/>
      <protection locked="0"/>
    </xf>
    <xf numFmtId="0" fontId="28" fillId="0" borderId="0" xfId="0" applyNumberFormat="1" applyFont="1" applyAlignment="1">
      <alignment vertical="center" wrapText="1"/>
    </xf>
    <xf numFmtId="0" fontId="5" fillId="8" borderId="18" xfId="0" applyNumberFormat="1" applyFont="1" applyFill="1" applyBorder="1" applyAlignment="1">
      <alignment vertical="center" wrapText="1"/>
    </xf>
    <xf numFmtId="0" fontId="30" fillId="8" borderId="10" xfId="0" applyNumberFormat="1" applyFont="1" applyFill="1" applyBorder="1" applyAlignment="1">
      <alignment horizontal="center" vertical="center" wrapText="1"/>
    </xf>
    <xf numFmtId="49" fontId="54" fillId="0" borderId="0" xfId="0" applyNumberFormat="1" applyFont="1" applyAlignment="1">
      <alignment vertical="center" wrapText="1"/>
    </xf>
    <xf numFmtId="0" fontId="88" fillId="8" borderId="0" xfId="0" applyNumberFormat="1" applyFont="1" applyFill="1" applyAlignment="1">
      <alignment vertical="center" wrapText="1"/>
    </xf>
    <xf numFmtId="0" fontId="5" fillId="0" borderId="0" xfId="0" applyNumberFormat="1" applyFont="1" applyAlignment="1">
      <alignment vertical="center"/>
    </xf>
    <xf numFmtId="49" fontId="30" fillId="8" borderId="0" xfId="0" applyNumberFormat="1" applyFont="1" applyFill="1" applyAlignment="1">
      <alignment horizontal="center" vertical="center" wrapText="1"/>
    </xf>
    <xf numFmtId="0" fontId="5" fillId="0" borderId="0" xfId="0" applyNumberFormat="1" applyFont="1" applyAlignment="1">
      <alignment horizontal="left" vertical="center" wrapText="1"/>
    </xf>
    <xf numFmtId="0" fontId="30" fillId="0" borderId="0" xfId="0" applyNumberFormat="1" applyFont="1" applyAlignment="1">
      <alignment vertical="center"/>
    </xf>
    <xf numFmtId="0" fontId="5" fillId="0" borderId="0" xfId="0" applyNumberFormat="1" applyFont="1" applyAlignment="1">
      <alignment horizontal="left" vertical="center" wrapText="1" indent="1"/>
    </xf>
    <xf numFmtId="0" fontId="5" fillId="0" borderId="0" xfId="0" applyNumberFormat="1" applyFont="1" applyAlignment="1">
      <alignment horizontal="right" vertical="top" wrapText="1"/>
    </xf>
    <xf numFmtId="0" fontId="89" fillId="8" borderId="0" xfId="0" applyNumberFormat="1" applyFont="1" applyFill="1" applyAlignment="1">
      <alignment vertical="center" wrapText="1"/>
    </xf>
    <xf numFmtId="49" fontId="62" fillId="8" borderId="10" xfId="0" applyNumberFormat="1" applyFont="1" applyFill="1" applyBorder="1" applyAlignment="1">
      <alignment horizontal="center" vertical="center" wrapText="1"/>
    </xf>
    <xf numFmtId="0" fontId="62" fillId="8" borderId="10" xfId="0" applyNumberFormat="1" applyFont="1" applyFill="1" applyBorder="1" applyAlignment="1">
      <alignment horizontal="center" vertical="center" wrapText="1"/>
    </xf>
    <xf numFmtId="165" fontId="5" fillId="9" borderId="3" xfId="0" applyNumberFormat="1" applyFont="1" applyFill="1" applyBorder="1" applyAlignment="1" applyProtection="1">
      <alignment horizontal="right" vertical="center" wrapText="1"/>
      <protection locked="0"/>
    </xf>
    <xf numFmtId="0" fontId="27" fillId="0" borderId="3" xfId="0" applyNumberFormat="1" applyFont="1" applyBorder="1" applyAlignment="1">
      <alignment vertical="top" wrapText="1"/>
    </xf>
    <xf numFmtId="0" fontId="5" fillId="0" borderId="0" xfId="0" applyNumberFormat="1" applyFont="1" applyAlignment="1">
      <alignment vertical="center"/>
    </xf>
    <xf numFmtId="0" fontId="90"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horizontal="left" vertical="center" indent="1"/>
    </xf>
    <xf numFmtId="49" fontId="91" fillId="10" borderId="6" xfId="0" applyNumberFormat="1" applyFont="1" applyFill="1" applyBorder="1" applyAlignment="1">
      <alignment horizontal="left" vertical="center" indent="3"/>
    </xf>
    <xf numFmtId="49" fontId="54" fillId="10" borderId="6" xfId="0" applyNumberFormat="1" applyFont="1" applyFill="1" applyBorder="1" applyAlignment="1">
      <alignment horizontal="center" vertical="center" wrapText="1"/>
    </xf>
    <xf numFmtId="49" fontId="49" fillId="10" borderId="6" xfId="0" applyNumberFormat="1" applyFont="1" applyFill="1" applyBorder="1" applyAlignment="1">
      <alignment horizontal="center" vertical="center" wrapText="1"/>
    </xf>
    <xf numFmtId="49" fontId="49" fillId="10" borderId="4" xfId="0" applyNumberFormat="1" applyFont="1" applyFill="1" applyBorder="1" applyAlignment="1">
      <alignment horizontal="center" vertical="center" wrapText="1"/>
    </xf>
    <xf numFmtId="49" fontId="91" fillId="10" borderId="6" xfId="0" applyNumberFormat="1" applyFont="1" applyFill="1" applyBorder="1" applyAlignment="1">
      <alignment horizontal="left" vertical="center" indent="2"/>
    </xf>
    <xf numFmtId="49" fontId="91" fillId="10" borderId="6" xfId="0" applyNumberFormat="1" applyFont="1" applyFill="1" applyBorder="1" applyAlignment="1">
      <alignment horizontal="left" vertical="center" indent="1"/>
    </xf>
    <xf numFmtId="49" fontId="91" fillId="10" borderId="6" xfId="0" applyNumberFormat="1" applyFont="1" applyFill="1" applyBorder="1" applyAlignment="1">
      <alignment horizontal="left" vertical="center"/>
    </xf>
    <xf numFmtId="0" fontId="5" fillId="8" borderId="0" xfId="0" applyNumberFormat="1" applyFont="1" applyFill="1" applyAlignment="1">
      <alignment horizontal="left" vertical="center" wrapText="1"/>
    </xf>
    <xf numFmtId="0" fontId="0" fillId="0" borderId="0" xfId="0" applyNumberFormat="1" applyFont="1" applyAlignment="1">
      <alignment horizontal="left" vertical="center"/>
    </xf>
    <xf numFmtId="49" fontId="62" fillId="8" borderId="10" xfId="0" applyNumberFormat="1" applyFont="1" applyFill="1" applyBorder="1" applyAlignment="1">
      <alignment horizontal="left" vertical="center" wrapText="1"/>
    </xf>
    <xf numFmtId="49" fontId="55" fillId="10" borderId="5" xfId="0" applyNumberFormat="1" applyFont="1" applyFill="1" applyBorder="1" applyAlignment="1">
      <alignment horizontal="left" vertical="center"/>
    </xf>
    <xf numFmtId="49" fontId="83" fillId="10" borderId="5" xfId="0" applyNumberFormat="1" applyFont="1" applyFill="1" applyBorder="1" applyAlignment="1">
      <alignment horizontal="left" vertical="center"/>
    </xf>
    <xf numFmtId="49" fontId="49" fillId="10" borderId="5" xfId="0" applyNumberFormat="1" applyFont="1" applyFill="1" applyBorder="1" applyAlignment="1">
      <alignment horizontal="left" vertical="top"/>
    </xf>
    <xf numFmtId="0" fontId="0" fillId="21" borderId="0" xfId="0" applyNumberFormat="1" applyFont="1" applyFill="1" applyAlignment="1">
      <alignment horizontal="right" vertical="center"/>
    </xf>
    <xf numFmtId="0" fontId="30" fillId="0" borderId="3" xfId="0" applyNumberFormat="1" applyFont="1" applyBorder="1" applyAlignment="1">
      <alignment horizontal="center" vertical="center"/>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0" fontId="0" fillId="0" borderId="0" xfId="0" applyNumberFormat="1" applyFont="1" applyAlignment="1">
      <alignment horizontal="left" vertical="top" wrapText="1"/>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top" wrapText="1"/>
    </xf>
    <xf numFmtId="0" fontId="62" fillId="8" borderId="10"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30"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0" fontId="36" fillId="21" borderId="0" xfId="0" applyNumberFormat="1" applyFont="1" applyFill="1" applyAlignment="1">
      <alignment horizontal="left" vertical="center"/>
    </xf>
    <xf numFmtId="49" fontId="5" fillId="0" borderId="11" xfId="0" applyNumberFormat="1" applyFont="1" applyBorder="1" applyAlignment="1">
      <alignment horizontal="left" vertical="center" wrapText="1"/>
    </xf>
    <xf numFmtId="0" fontId="22" fillId="0" borderId="0" xfId="0" applyNumberFormat="1" applyFont="1" applyAlignment="1">
      <alignment horizontal="left" vertical="center"/>
    </xf>
    <xf numFmtId="0" fontId="22" fillId="0" borderId="15" xfId="0" applyNumberFormat="1" applyFont="1" applyBorder="1" applyAlignment="1">
      <alignment horizontal="left" vertical="center"/>
    </xf>
    <xf numFmtId="0" fontId="22" fillId="0" borderId="21" xfId="0" applyNumberFormat="1" applyFont="1" applyBorder="1" applyAlignment="1">
      <alignment horizontal="left" vertical="center"/>
    </xf>
    <xf numFmtId="0" fontId="22" fillId="0" borderId="18" xfId="0" applyNumberFormat="1" applyFont="1" applyBorder="1" applyAlignment="1">
      <alignment horizontal="left" vertical="center"/>
    </xf>
    <xf numFmtId="0" fontId="0" fillId="0" borderId="18" xfId="0" applyNumberFormat="1" applyFont="1" applyBorder="1" applyAlignment="1">
      <alignment vertical="center"/>
    </xf>
    <xf numFmtId="0" fontId="22" fillId="0" borderId="20" xfId="0" applyNumberFormat="1" applyFont="1" applyBorder="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0" fontId="30"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27" fillId="0" borderId="8" xfId="0" applyNumberFormat="1" applyFont="1" applyBorder="1" applyAlignment="1">
      <alignment vertical="top" wrapText="1"/>
    </xf>
    <xf numFmtId="0" fontId="0" fillId="0" borderId="0" xfId="0" applyNumberFormat="1" applyFont="1" applyAlignment="1">
      <alignment vertical="center"/>
    </xf>
    <xf numFmtId="0" fontId="5" fillId="8" borderId="3" xfId="0" applyNumberFormat="1" applyFont="1" applyFill="1" applyBorder="1" applyAlignment="1">
      <alignment horizontal="left" vertical="center" wrapText="1"/>
    </xf>
    <xf numFmtId="0" fontId="5" fillId="0" borderId="0" xfId="0" applyNumberFormat="1" applyFont="1" applyAlignment="1">
      <alignment horizontal="center" vertical="center"/>
    </xf>
    <xf numFmtId="49" fontId="5" fillId="0" borderId="0" xfId="0" applyNumberFormat="1" applyFont="1" applyAlignment="1">
      <alignment vertical="center" wrapText="1"/>
    </xf>
    <xf numFmtId="0" fontId="62" fillId="8" borderId="10"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30" fillId="0" borderId="0" xfId="0" applyNumberFormat="1" applyFont="1" applyAlignment="1">
      <alignment horizontal="left" vertical="center" indent="1"/>
    </xf>
    <xf numFmtId="0" fontId="30" fillId="0" borderId="0" xfId="0" applyNumberFormat="1" applyFont="1" applyAlignment="1">
      <alignment horizontal="left" vertical="center" wrapText="1"/>
    </xf>
    <xf numFmtId="49" fontId="30" fillId="0" borderId="0" xfId="0" applyNumberFormat="1" applyFont="1">
      <alignment vertical="top"/>
    </xf>
    <xf numFmtId="49" fontId="89" fillId="0" borderId="0" xfId="0" applyNumberFormat="1" applyFont="1">
      <alignment vertical="top"/>
    </xf>
    <xf numFmtId="49" fontId="79" fillId="0" borderId="10" xfId="0" applyNumberFormat="1" applyFont="1" applyBorder="1" applyAlignment="1">
      <alignment horizontal="left" vertical="center"/>
    </xf>
    <xf numFmtId="49" fontId="30" fillId="0" borderId="10" xfId="0" applyNumberFormat="1" applyFont="1" applyBorder="1" applyAlignment="1">
      <alignment horizontal="left" vertical="center" indent="3"/>
    </xf>
    <xf numFmtId="49" fontId="30" fillId="0" borderId="10" xfId="0" applyNumberFormat="1" applyFont="1" applyBorder="1" applyAlignment="1">
      <alignment horizontal="center" vertical="center" wrapText="1"/>
    </xf>
    <xf numFmtId="49" fontId="30" fillId="0" borderId="0" xfId="0" applyNumberFormat="1" applyFont="1" applyAlignment="1">
      <alignment horizontal="left" vertical="center"/>
    </xf>
    <xf numFmtId="49" fontId="79" fillId="0" borderId="0" xfId="0" applyNumberFormat="1" applyFont="1" applyAlignment="1">
      <alignment horizontal="left" vertical="center"/>
    </xf>
    <xf numFmtId="49" fontId="30" fillId="0" borderId="0" xfId="0" applyNumberFormat="1" applyFont="1" applyAlignment="1">
      <alignment horizontal="left" vertical="center" indent="2"/>
    </xf>
    <xf numFmtId="49" fontId="30" fillId="0" borderId="0" xfId="0" applyNumberFormat="1" applyFont="1" applyAlignment="1">
      <alignment horizontal="center" vertical="center" wrapText="1"/>
    </xf>
    <xf numFmtId="49" fontId="30" fillId="0" borderId="0" xfId="0" applyNumberFormat="1" applyFont="1" applyAlignment="1">
      <alignment horizontal="left" vertical="center" indent="1"/>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29"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30"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left" vertical="top" wrapText="1"/>
    </xf>
    <xf numFmtId="0" fontId="0" fillId="0" borderId="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30" fillId="0" borderId="0" xfId="0" applyNumberFormat="1" applyFont="1" applyAlignment="1">
      <alignment horizontal="center" vertical="center"/>
    </xf>
    <xf numFmtId="0" fontId="5" fillId="0" borderId="0" xfId="0" applyNumberFormat="1" applyFont="1" applyAlignment="1">
      <alignment horizontal="right" vertical="center" wrapText="1"/>
    </xf>
    <xf numFmtId="0" fontId="62" fillId="8" borderId="0" xfId="0" applyNumberFormat="1" applyFont="1" applyFill="1" applyAlignment="1">
      <alignment horizontal="center" vertical="center" wrapText="1"/>
    </xf>
    <xf numFmtId="49" fontId="5" fillId="0" borderId="3" xfId="0" applyNumberFormat="1" applyFont="1" applyBorder="1" applyAlignment="1">
      <alignment horizontal="left" vertical="center" wrapText="1"/>
    </xf>
    <xf numFmtId="0" fontId="30" fillId="0" borderId="0" xfId="0" applyNumberFormat="1" applyFont="1" applyAlignment="1">
      <alignment horizontal="left" vertical="center" indent="1"/>
    </xf>
    <xf numFmtId="49" fontId="89" fillId="0" borderId="0" xfId="0" applyNumberFormat="1" applyFont="1">
      <alignment vertical="top"/>
    </xf>
    <xf numFmtId="49" fontId="5" fillId="0" borderId="3" xfId="0" applyNumberFormat="1" applyFont="1" applyBorder="1" applyAlignment="1">
      <alignment vertical="center" wrapText="1"/>
    </xf>
    <xf numFmtId="0" fontId="30" fillId="0" borderId="0" xfId="0" applyNumberFormat="1" applyFont="1" applyAlignment="1">
      <alignment horizontal="center" vertical="center"/>
    </xf>
    <xf numFmtId="0" fontId="5" fillId="13" borderId="3" xfId="0" applyNumberFormat="1" applyFont="1" applyFill="1" applyBorder="1" applyAlignment="1">
      <alignment horizontal="left" vertical="center" wrapText="1" indent="6"/>
    </xf>
    <xf numFmtId="4" fontId="5" fillId="0" borderId="8" xfId="0" applyNumberFormat="1" applyFont="1" applyBorder="1" applyAlignment="1">
      <alignment horizontal="right" vertical="center" wrapText="1"/>
    </xf>
    <xf numFmtId="4" fontId="5" fillId="0" borderId="14" xfId="0" applyNumberFormat="1" applyFont="1" applyBorder="1" applyAlignment="1">
      <alignment horizontal="right" vertical="center" wrapText="1"/>
    </xf>
    <xf numFmtId="0" fontId="0" fillId="0" borderId="0" xfId="0" applyNumberFormat="1" applyFont="1" applyAlignment="1">
      <alignment vertical="center"/>
    </xf>
    <xf numFmtId="49" fontId="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30"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 fontId="29" fillId="0" borderId="3" xfId="0" applyNumberFormat="1" applyFont="1" applyBorder="1" applyAlignment="1">
      <alignment horizontal="right" vertical="center" wrapText="1"/>
    </xf>
    <xf numFmtId="165" fontId="29" fillId="0" borderId="3" xfId="0" applyNumberFormat="1" applyFont="1" applyBorder="1" applyAlignment="1">
      <alignment horizontal="right" vertical="center" wrapText="1"/>
    </xf>
    <xf numFmtId="49" fontId="29" fillId="0" borderId="0" xfId="0" applyNumberFormat="1" applyFont="1" applyAlignment="1">
      <alignment vertical="center" wrapText="1"/>
    </xf>
    <xf numFmtId="0" fontId="29" fillId="0" borderId="0" xfId="0" applyNumberFormat="1" applyFont="1" applyAlignment="1">
      <alignment horizontal="left" vertical="center" indent="1"/>
    </xf>
    <xf numFmtId="0" fontId="29" fillId="0" borderId="0" xfId="0" applyNumberFormat="1" applyFont="1" applyAlignment="1">
      <alignment horizontal="center" vertical="center"/>
    </xf>
    <xf numFmtId="0" fontId="29" fillId="0" borderId="0" xfId="0" applyNumberFormat="1" applyFont="1" applyAlignment="1">
      <alignment horizontal="left" vertical="center" wrapText="1"/>
    </xf>
    <xf numFmtId="0" fontId="29" fillId="0" borderId="0" xfId="0" applyNumberFormat="1" applyFont="1" applyAlignment="1">
      <alignment vertical="center" wrapText="1"/>
    </xf>
    <xf numFmtId="49" fontId="29" fillId="0" borderId="3" xfId="0" applyNumberFormat="1" applyFont="1" applyBorder="1" applyAlignment="1">
      <alignment vertical="center" wrapText="1"/>
    </xf>
    <xf numFmtId="0" fontId="29" fillId="0" borderId="0" xfId="0" applyNumberFormat="1" applyFont="1" applyAlignment="1">
      <alignment vertical="center"/>
    </xf>
    <xf numFmtId="0" fontId="29" fillId="0" borderId="0" xfId="0" applyNumberFormat="1" applyFont="1" applyAlignment="1">
      <alignment horizontal="center" vertical="center"/>
    </xf>
    <xf numFmtId="0" fontId="29" fillId="0" borderId="0" xfId="0" applyNumberFormat="1" applyFont="1" applyAlignment="1">
      <alignment vertical="center"/>
    </xf>
    <xf numFmtId="0" fontId="51" fillId="0" borderId="0" xfId="0" applyNumberFormat="1" applyFont="1" applyAlignment="1">
      <alignment vertical="center" wrapText="1"/>
    </xf>
    <xf numFmtId="0" fontId="0" fillId="0" borderId="6" xfId="0" applyNumberFormat="1" applyFont="1" applyBorder="1" applyAlignment="1">
      <alignment vertical="center"/>
    </xf>
    <xf numFmtId="0" fontId="30" fillId="0" borderId="3" xfId="0" applyNumberFormat="1" applyFont="1" applyBorder="1" applyAlignment="1">
      <alignment horizontal="center" vertical="center" wrapText="1"/>
    </xf>
    <xf numFmtId="0" fontId="54" fillId="0" borderId="0" xfId="0" applyNumberFormat="1" applyFont="1" applyAlignment="1">
      <alignment horizontal="left" vertical="center" indent="1"/>
    </xf>
    <xf numFmtId="0" fontId="54" fillId="0" borderId="0" xfId="0" applyNumberFormat="1" applyFont="1" applyAlignment="1">
      <alignment horizontal="left" vertical="center" indent="1"/>
    </xf>
    <xf numFmtId="0" fontId="30" fillId="0" borderId="3" xfId="0" applyNumberFormat="1" applyFont="1" applyBorder="1" applyAlignment="1">
      <alignment vertical="center" wrapText="1"/>
    </xf>
    <xf numFmtId="0" fontId="54" fillId="0" borderId="0" xfId="0" applyNumberFormat="1" applyFont="1" applyAlignment="1">
      <alignment horizontal="center" vertical="center"/>
    </xf>
    <xf numFmtId="0" fontId="54" fillId="0" borderId="0" xfId="0" applyNumberFormat="1" applyFont="1" applyAlignment="1">
      <alignment horizontal="left" vertical="center" wrapText="1"/>
    </xf>
    <xf numFmtId="49" fontId="54" fillId="0" borderId="0" xfId="0" applyNumberFormat="1" applyFont="1" applyAlignment="1">
      <alignment horizontal="left" vertical="center"/>
    </xf>
    <xf numFmtId="0" fontId="5" fillId="0" borderId="0" xfId="0" applyNumberFormat="1" applyFont="1" applyAlignment="1">
      <alignment horizontal="center" vertical="center"/>
    </xf>
    <xf numFmtId="0" fontId="54" fillId="0" borderId="0" xfId="0" applyNumberFormat="1" applyFont="1" applyAlignment="1">
      <alignment horizontal="center" vertical="center"/>
    </xf>
    <xf numFmtId="4" fontId="5" fillId="0" borderId="4" xfId="0" applyNumberFormat="1" applyFont="1" applyBorder="1" applyAlignment="1">
      <alignment horizontal="right" vertical="center" wrapText="1"/>
    </xf>
    <xf numFmtId="0" fontId="30" fillId="0" borderId="3" xfId="0" applyNumberFormat="1" applyFont="1" applyBorder="1" applyAlignment="1">
      <alignment horizontal="left" vertical="center" wrapText="1" indent="4"/>
    </xf>
    <xf numFmtId="0" fontId="30" fillId="0" borderId="3" xfId="0" applyNumberFormat="1" applyFont="1" applyBorder="1" applyAlignment="1">
      <alignment horizontal="left" vertical="center" wrapText="1" indent="6"/>
    </xf>
    <xf numFmtId="0" fontId="30" fillId="0" borderId="3" xfId="0" applyNumberFormat="1" applyFont="1" applyBorder="1" applyAlignment="1">
      <alignment vertical="top" wrapText="1"/>
    </xf>
    <xf numFmtId="49" fontId="79" fillId="0" borderId="5" xfId="0" applyNumberFormat="1" applyFont="1" applyBorder="1" applyAlignment="1">
      <alignment horizontal="left" vertical="center"/>
    </xf>
    <xf numFmtId="49" fontId="30" fillId="0" borderId="6" xfId="0" applyNumberFormat="1" applyFont="1" applyBorder="1" applyAlignment="1">
      <alignment horizontal="left" vertical="center" indent="4"/>
    </xf>
    <xf numFmtId="49" fontId="30" fillId="0" borderId="6" xfId="0" applyNumberFormat="1" applyFont="1" applyBorder="1" applyAlignment="1">
      <alignment horizontal="center" vertical="center" wrapText="1"/>
    </xf>
    <xf numFmtId="49" fontId="30" fillId="0" borderId="4" xfId="0" applyNumberFormat="1" applyFont="1" applyBorder="1" applyAlignment="1">
      <alignment horizontal="center" vertical="center" wrapText="1"/>
    </xf>
    <xf numFmtId="4" fontId="5" fillId="0" borderId="27" xfId="0" applyNumberFormat="1" applyFont="1" applyBorder="1" applyAlignment="1">
      <alignment horizontal="right" vertical="center" wrapText="1"/>
    </xf>
    <xf numFmtId="0" fontId="5" fillId="9" borderId="3" xfId="0" applyNumberFormat="1" applyFont="1" applyFill="1" applyBorder="1" applyAlignment="1" applyProtection="1">
      <alignment horizontal="left" vertical="center" wrapText="1" indent="7"/>
      <protection locked="0"/>
    </xf>
    <xf numFmtId="0" fontId="5" fillId="10" borderId="6" xfId="0" applyNumberFormat="1" applyFont="1" applyFill="1" applyBorder="1" applyAlignment="1">
      <alignment horizontal="left" vertical="center" wrapText="1" indent="6"/>
    </xf>
    <xf numFmtId="4" fontId="5" fillId="10" borderId="6" xfId="0" applyNumberFormat="1" applyFont="1" applyFill="1" applyBorder="1" applyAlignment="1">
      <alignment horizontal="right" vertical="center" wrapText="1"/>
    </xf>
    <xf numFmtId="4" fontId="30" fillId="10" borderId="6" xfId="0" applyNumberFormat="1" applyFont="1" applyFill="1" applyBorder="1" applyAlignment="1">
      <alignment horizontal="center" vertical="center" wrapText="1"/>
    </xf>
    <xf numFmtId="4" fontId="5" fillId="10" borderId="4" xfId="0" applyNumberFormat="1" applyFont="1" applyFill="1" applyBorder="1" applyAlignment="1">
      <alignment horizontal="right" vertical="center" wrapText="1"/>
    </xf>
    <xf numFmtId="4" fontId="30" fillId="10" borderId="4" xfId="0" applyNumberFormat="1" applyFont="1" applyFill="1" applyBorder="1" applyAlignment="1">
      <alignment horizontal="center" vertical="center" wrapText="1"/>
    </xf>
    <xf numFmtId="165" fontId="5" fillId="10" borderId="4" xfId="0" applyNumberFormat="1" applyFont="1" applyFill="1" applyBorder="1" applyAlignment="1">
      <alignment horizontal="right" vertical="center" wrapText="1"/>
    </xf>
    <xf numFmtId="0" fontId="5" fillId="13" borderId="3" xfId="0" applyNumberFormat="1" applyFont="1" applyFill="1" applyBorder="1" applyAlignment="1">
      <alignment horizontal="left" vertical="center" wrapText="1" indent="1"/>
    </xf>
    <xf numFmtId="0" fontId="30" fillId="0" borderId="3" xfId="0" applyNumberFormat="1" applyFont="1" applyBorder="1" applyAlignment="1">
      <alignment horizontal="left" vertical="center" wrapText="1" indent="5"/>
    </xf>
    <xf numFmtId="49" fontId="54" fillId="0" borderId="15" xfId="0" applyNumberFormat="1" applyFont="1" applyBorder="1">
      <alignment vertical="top"/>
    </xf>
    <xf numFmtId="49" fontId="30" fillId="0" borderId="15" xfId="0" applyNumberFormat="1" applyFont="1" applyBorder="1">
      <alignment vertical="top"/>
    </xf>
    <xf numFmtId="0" fontId="5" fillId="0" borderId="3" xfId="0" applyNumberFormat="1" applyFont="1" applyBorder="1" applyAlignment="1">
      <alignment horizontal="left" vertical="center" wrapText="1" indent="1"/>
    </xf>
    <xf numFmtId="4" fontId="30" fillId="0" borderId="3" xfId="0" applyNumberFormat="1" applyFont="1" applyBorder="1" applyAlignment="1">
      <alignment horizontal="right" vertical="center" wrapText="1"/>
    </xf>
    <xf numFmtId="165" fontId="30" fillId="0" borderId="3" xfId="0" applyNumberFormat="1" applyFont="1" applyBorder="1" applyAlignment="1">
      <alignment horizontal="right" vertical="center" wrapText="1"/>
    </xf>
    <xf numFmtId="165" fontId="5" fillId="9" borderId="5" xfId="0" applyNumberFormat="1" applyFont="1" applyFill="1" applyBorder="1" applyAlignment="1" applyProtection="1">
      <alignment horizontal="right" vertical="center" wrapText="1"/>
      <protection locked="0"/>
    </xf>
    <xf numFmtId="4" fontId="30" fillId="0" borderId="5" xfId="0" applyNumberFormat="1" applyFont="1" applyBorder="1" applyAlignment="1">
      <alignment horizontal="center" vertical="center" wrapText="1"/>
    </xf>
    <xf numFmtId="4" fontId="5" fillId="9" borderId="4" xfId="0" applyNumberFormat="1" applyFont="1" applyFill="1" applyBorder="1" applyAlignment="1" applyProtection="1">
      <alignment horizontal="right" vertical="center" wrapText="1"/>
      <protection locked="0"/>
    </xf>
    <xf numFmtId="49" fontId="5" fillId="10" borderId="18" xfId="0" applyNumberFormat="1" applyFont="1" applyFill="1" applyBorder="1" applyAlignment="1">
      <alignment horizontal="center" vertical="center" wrapText="1"/>
    </xf>
    <xf numFmtId="49" fontId="29" fillId="0" borderId="0" xfId="0" applyNumberFormat="1" applyFont="1" applyAlignment="1">
      <alignment vertical="center" wrapText="1"/>
    </xf>
    <xf numFmtId="0" fontId="29" fillId="0" borderId="0" xfId="0" applyNumberFormat="1" applyFont="1" applyAlignment="1">
      <alignment horizontal="center" vertical="center" wrapText="1"/>
    </xf>
    <xf numFmtId="0" fontId="38" fillId="8" borderId="0" xfId="0" applyNumberFormat="1" applyFont="1" applyFill="1" applyAlignment="1">
      <alignment horizontal="center" vertical="center" wrapText="1"/>
    </xf>
    <xf numFmtId="0" fontId="38" fillId="0" borderId="0" xfId="0" applyNumberFormat="1" applyFont="1" applyAlignment="1">
      <alignment vertical="center" wrapText="1"/>
    </xf>
    <xf numFmtId="0" fontId="30" fillId="0" borderId="0" xfId="0" applyNumberFormat="1" applyFont="1" applyAlignment="1">
      <alignment vertical="center"/>
    </xf>
    <xf numFmtId="0" fontId="31" fillId="0" borderId="0" xfId="0" applyNumberFormat="1" applyFont="1" applyAlignment="1">
      <alignment vertical="center"/>
    </xf>
    <xf numFmtId="0" fontId="30" fillId="0" borderId="0" xfId="0" applyNumberFormat="1" applyFont="1" applyAlignment="1">
      <alignment vertical="center"/>
    </xf>
    <xf numFmtId="0" fontId="30" fillId="0" borderId="0" xfId="0" applyNumberFormat="1" applyFont="1" applyAlignment="1">
      <alignment vertical="center"/>
    </xf>
    <xf numFmtId="0" fontId="0" fillId="0" borderId="0" xfId="0" applyNumberFormat="1" applyFont="1" applyAlignment="1">
      <alignment vertical="center"/>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10"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30"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30" fillId="0" borderId="0" xfId="0" applyNumberFormat="1" applyFont="1" applyAlignment="1">
      <alignment horizontal="center" vertical="center"/>
    </xf>
    <xf numFmtId="49" fontId="5" fillId="0" borderId="0" xfId="0" applyNumberFormat="1" applyFont="1" applyAlignment="1">
      <alignment horizontal="center" vertical="top"/>
    </xf>
    <xf numFmtId="49" fontId="14" fillId="0" borderId="0" xfId="0" applyNumberFormat="1" applyFont="1" applyAlignment="1">
      <alignment horizontal="center" vertical="center"/>
    </xf>
    <xf numFmtId="0" fontId="0" fillId="0" borderId="0" xfId="0" applyNumberFormat="1" applyFont="1" applyAlignment="1">
      <alignment horizontal="left" vertical="center"/>
    </xf>
    <xf numFmtId="0" fontId="36" fillId="0" borderId="0" xfId="0" applyNumberFormat="1" applyFont="1" applyAlignment="1">
      <alignment horizontal="left" vertical="center"/>
    </xf>
    <xf numFmtId="49" fontId="0" fillId="0" borderId="0" xfId="0" applyNumberFormat="1" applyFont="1" applyAlignment="1">
      <alignment vertical="center"/>
    </xf>
    <xf numFmtId="0" fontId="0" fillId="0" borderId="0" xfId="0" applyNumberFormat="1" applyFont="1" applyAlignment="1">
      <alignment horizontal="right" vertical="top"/>
    </xf>
    <xf numFmtId="0" fontId="22" fillId="10" borderId="20" xfId="0" applyNumberFormat="1" applyFont="1" applyFill="1" applyBorder="1" applyAlignment="1">
      <alignment horizontal="left" vertical="center"/>
    </xf>
    <xf numFmtId="49" fontId="30" fillId="0" borderId="5" xfId="0" applyNumberFormat="1" applyFont="1" applyBorder="1" applyAlignment="1">
      <alignment horizontal="left" vertical="center" wrapText="1"/>
    </xf>
    <xf numFmtId="0" fontId="30" fillId="0" borderId="5" xfId="0" applyNumberFormat="1" applyFont="1" applyBorder="1" applyAlignment="1">
      <alignment horizontal="left" vertical="center"/>
    </xf>
    <xf numFmtId="0" fontId="30" fillId="0" borderId="6" xfId="0" applyNumberFormat="1" applyFont="1" applyBorder="1" applyAlignment="1">
      <alignment horizontal="left" vertical="center"/>
    </xf>
    <xf numFmtId="49" fontId="5" fillId="9" borderId="3" xfId="0" applyNumberFormat="1" applyFont="1" applyFill="1" applyBorder="1" applyAlignment="1" applyProtection="1">
      <alignment horizontal="left" vertical="center" wrapText="1" indent="6"/>
      <protection locked="0"/>
    </xf>
    <xf numFmtId="4" fontId="5" fillId="0" borderId="28"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49" fontId="0" fillId="10" borderId="20" xfId="0" applyNumberFormat="1" applyFont="1" applyFill="1" applyBorder="1" applyAlignment="1">
      <alignment horizontal="center" vertical="center" wrapText="1"/>
    </xf>
    <xf numFmtId="0" fontId="0" fillId="0" borderId="0" xfId="0" applyNumberFormat="1" applyFont="1" applyAlignment="1">
      <alignment vertical="center"/>
    </xf>
    <xf numFmtId="0" fontId="92" fillId="0" borderId="0" xfId="0" applyNumberFormat="1" applyFont="1" applyAlignment="1">
      <alignmen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0" fontId="29"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30"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30" fillId="0" borderId="0" xfId="0" applyNumberFormat="1" applyFont="1" applyAlignment="1">
      <alignment horizontal="center" vertical="center"/>
    </xf>
    <xf numFmtId="49" fontId="5" fillId="13" borderId="3" xfId="0" applyNumberFormat="1" applyFont="1" applyFill="1" applyBorder="1" applyAlignment="1">
      <alignment horizontal="center" vertical="center" wrapText="1"/>
    </xf>
    <xf numFmtId="49" fontId="30"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30" fillId="0" borderId="0" xfId="0" applyNumberFormat="1" applyFont="1" applyAlignment="1">
      <alignment horizontal="center" vertical="center" wrapText="1"/>
    </xf>
    <xf numFmtId="49" fontId="5" fillId="8" borderId="3" xfId="0" applyNumberFormat="1" applyFont="1" applyFill="1" applyBorder="1" applyAlignment="1">
      <alignment horizontal="center" vertical="center" wrapText="1"/>
    </xf>
    <xf numFmtId="0" fontId="30" fillId="0" borderId="0" xfId="0" applyNumberFormat="1" applyFont="1" applyAlignment="1">
      <alignment horizontal="center" vertical="center"/>
    </xf>
    <xf numFmtId="0" fontId="5" fillId="8"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49" fontId="5" fillId="8" borderId="3" xfId="0" applyNumberFormat="1" applyFont="1" applyFill="1" applyBorder="1" applyAlignment="1">
      <alignment horizontal="center" vertical="center" wrapText="1"/>
    </xf>
    <xf numFmtId="0" fontId="30" fillId="8" borderId="0" xfId="0" applyNumberFormat="1" applyFont="1" applyFill="1" applyAlignment="1">
      <alignment horizontal="center" vertical="center" wrapText="1"/>
    </xf>
    <xf numFmtId="0" fontId="0" fillId="8" borderId="3" xfId="0" applyNumberFormat="1" applyFont="1" applyFill="1" applyBorder="1" applyAlignment="1">
      <alignment horizontal="center" vertical="center" wrapText="1"/>
    </xf>
    <xf numFmtId="0" fontId="5" fillId="8" borderId="15"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30"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30" fillId="0" borderId="3" xfId="0" applyNumberFormat="1" applyFont="1" applyBorder="1" applyAlignment="1">
      <alignment horizontal="center" vertical="center" wrapText="1"/>
    </xf>
    <xf numFmtId="49" fontId="5" fillId="8" borderId="3"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5" fillId="8" borderId="3" xfId="0" applyNumberFormat="1" applyFont="1" applyFill="1" applyBorder="1" applyAlignment="1">
      <alignment horizontal="left" vertical="center" wrapText="1"/>
    </xf>
    <xf numFmtId="0" fontId="30" fillId="0" borderId="0" xfId="0" applyNumberFormat="1" applyFont="1" applyAlignment="1">
      <alignment horizontal="center" vertical="center"/>
    </xf>
    <xf numFmtId="0" fontId="19" fillId="0" borderId="0" xfId="0" applyNumberFormat="1" applyFont="1" applyAlignment="1">
      <alignment horizontal="center" vertical="center" wrapText="1"/>
    </xf>
    <xf numFmtId="165" fontId="5" fillId="10" borderId="6" xfId="0" applyNumberFormat="1" applyFont="1" applyFill="1" applyBorder="1" applyAlignment="1">
      <alignment horizontal="right" vertical="center" wrapText="1"/>
    </xf>
    <xf numFmtId="0" fontId="93" fillId="0" borderId="0" xfId="0" applyNumberFormat="1" applyFont="1" applyAlignment="1">
      <alignment vertical="center" wrapText="1"/>
    </xf>
    <xf numFmtId="0" fontId="93" fillId="8" borderId="0" xfId="0" applyNumberFormat="1" applyFont="1" applyFill="1" applyAlignment="1">
      <alignment horizontal="center" vertical="center" wrapText="1"/>
    </xf>
    <xf numFmtId="0" fontId="30" fillId="8" borderId="3" xfId="0" applyNumberFormat="1" applyFont="1" applyFill="1" applyBorder="1" applyAlignment="1">
      <alignment horizontal="left" vertical="center" wrapText="1" indent="3"/>
    </xf>
    <xf numFmtId="49" fontId="22" fillId="10" borderId="18" xfId="0" applyNumberFormat="1" applyFont="1" applyFill="1" applyBorder="1" applyAlignment="1">
      <alignment horizontal="left" vertical="center"/>
    </xf>
    <xf numFmtId="0" fontId="93" fillId="0" borderId="0" xfId="0" applyNumberFormat="1" applyFont="1" applyAlignment="1">
      <alignment horizontal="center" vertical="center" wrapText="1"/>
    </xf>
    <xf numFmtId="49" fontId="30" fillId="0" borderId="0" xfId="0" applyNumberFormat="1" applyFont="1" applyAlignment="1">
      <alignment horizontal="left" vertical="center" wrapText="1" indent="1"/>
    </xf>
    <xf numFmtId="0" fontId="30" fillId="0" borderId="0" xfId="0" applyNumberFormat="1" applyFont="1" applyAlignment="1">
      <alignment horizontal="left" vertical="center" wrapText="1" indent="4"/>
    </xf>
    <xf numFmtId="0" fontId="30" fillId="0" borderId="0" xfId="0" applyNumberFormat="1" applyFont="1" applyAlignment="1">
      <alignment horizontal="left" vertical="center" wrapText="1" indent="1"/>
    </xf>
    <xf numFmtId="49" fontId="5" fillId="10" borderId="5" xfId="0" applyNumberFormat="1" applyFont="1" applyFill="1" applyBorder="1" applyAlignment="1">
      <alignment horizontal="center" vertical="center" wrapText="1"/>
    </xf>
    <xf numFmtId="0" fontId="30" fillId="0" borderId="15" xfId="0" applyNumberFormat="1" applyFont="1" applyBorder="1" applyAlignment="1">
      <alignment horizontal="left" vertical="center" wrapText="1" indent="1"/>
    </xf>
    <xf numFmtId="0" fontId="29" fillId="0" borderId="0" xfId="0" applyNumberFormat="1" applyFont="1" applyAlignment="1">
      <alignment horizontal="left" vertical="center"/>
    </xf>
    <xf numFmtId="49" fontId="29" fillId="0" borderId="0" xfId="0" applyNumberFormat="1" applyFont="1" applyAlignment="1">
      <alignment horizontal="left" vertical="center"/>
    </xf>
    <xf numFmtId="0" fontId="29" fillId="0" borderId="0" xfId="0" applyNumberFormat="1" applyFont="1" applyAlignment="1">
      <alignment horizontal="left" vertical="center"/>
    </xf>
    <xf numFmtId="0" fontId="51" fillId="0" borderId="0" xfId="0" applyNumberFormat="1" applyFont="1" applyAlignment="1">
      <alignment horizontal="left" vertical="center"/>
    </xf>
    <xf numFmtId="0" fontId="30" fillId="0" borderId="0" xfId="0" applyNumberFormat="1" applyFont="1" applyAlignment="1">
      <alignment horizontal="left" vertical="center"/>
    </xf>
    <xf numFmtId="49" fontId="5" fillId="0" borderId="0" xfId="0" applyNumberFormat="1" applyFont="1" applyAlignment="1">
      <alignment horizontal="center" vertical="center" wrapText="1"/>
    </xf>
    <xf numFmtId="49" fontId="5" fillId="0" borderId="10" xfId="0" applyNumberFormat="1" applyFont="1" applyBorder="1" applyAlignment="1">
      <alignment horizontal="center" vertical="center" wrapText="1"/>
    </xf>
    <xf numFmtId="49" fontId="5" fillId="0" borderId="10" xfId="0" applyNumberFormat="1" applyFont="1" applyBorder="1" applyAlignment="1">
      <alignment horizontal="left" vertical="center" wrapText="1"/>
    </xf>
    <xf numFmtId="0" fontId="19" fillId="0" borderId="0" xfId="0" applyNumberFormat="1" applyFont="1" applyAlignment="1">
      <alignment horizontal="center" vertical="center" wrapText="1"/>
    </xf>
    <xf numFmtId="0" fontId="19" fillId="8" borderId="0" xfId="0" applyNumberFormat="1" applyFont="1" applyFill="1" applyAlignment="1">
      <alignment horizontal="center" vertical="center" wrapText="1"/>
    </xf>
    <xf numFmtId="49" fontId="29" fillId="0" borderId="0" xfId="0" applyNumberFormat="1" applyFont="1" applyAlignment="1">
      <alignment horizontal="left" vertical="center"/>
    </xf>
    <xf numFmtId="49" fontId="29" fillId="0" borderId="0" xfId="0" applyNumberFormat="1" applyFont="1" applyAlignment="1">
      <alignment horizontal="left" vertical="center"/>
    </xf>
    <xf numFmtId="49" fontId="29" fillId="0" borderId="0" xfId="0" applyNumberFormat="1" applyFont="1" applyAlignment="1">
      <alignment horizontal="left" vertical="top"/>
    </xf>
    <xf numFmtId="49" fontId="5" fillId="8" borderId="3" xfId="0" applyNumberFormat="1" applyFont="1" applyFill="1" applyBorder="1" applyAlignment="1">
      <alignment horizontal="center" vertical="center"/>
    </xf>
    <xf numFmtId="0"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1"/>
    </xf>
    <xf numFmtId="49" fontId="5" fillId="0" borderId="3" xfId="0" applyNumberFormat="1" applyFont="1" applyBorder="1" applyAlignment="1">
      <alignment horizontal="center" vertical="center"/>
    </xf>
    <xf numFmtId="0" fontId="5" fillId="0" borderId="3" xfId="0" applyNumberFormat="1" applyFont="1" applyBorder="1" applyAlignment="1">
      <alignment horizontal="left" vertical="center" wrapText="1" indent="1"/>
    </xf>
    <xf numFmtId="0" fontId="5" fillId="0" borderId="3" xfId="0" applyNumberFormat="1" applyFont="1" applyBorder="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left" vertical="center" wrapText="1"/>
    </xf>
    <xf numFmtId="0" fontId="30" fillId="8" borderId="3" xfId="0" applyNumberFormat="1" applyFont="1" applyFill="1" applyBorder="1" applyAlignment="1">
      <alignment horizontal="center" vertical="center"/>
    </xf>
    <xf numFmtId="0" fontId="54" fillId="8" borderId="0" xfId="0" applyNumberFormat="1" applyFont="1" applyFill="1" applyAlignment="1">
      <alignment vertical="center" wrapText="1"/>
    </xf>
    <xf numFmtId="0" fontId="49" fillId="8" borderId="0" xfId="0" applyNumberFormat="1" applyFont="1" applyFill="1" applyAlignment="1"/>
    <xf numFmtId="49" fontId="5" fillId="9" borderId="3" xfId="0" applyNumberFormat="1" applyFont="1" applyFill="1" applyBorder="1" applyAlignment="1" applyProtection="1">
      <alignment horizontal="left" vertical="center" wrapText="1"/>
      <protection locked="0"/>
    </xf>
    <xf numFmtId="0" fontId="66" fillId="8" borderId="0" xfId="0" applyNumberFormat="1" applyFont="1" applyFill="1" applyAlignment="1"/>
    <xf numFmtId="0" fontId="50" fillId="8" borderId="0" xfId="0" applyNumberFormat="1" applyFont="1" applyFill="1" applyAlignment="1"/>
    <xf numFmtId="14" fontId="5" fillId="12" borderId="14" xfId="0" applyNumberFormat="1" applyFont="1" applyFill="1" applyBorder="1" applyAlignment="1" applyProtection="1">
      <alignment horizontal="left" vertical="center" wrapText="1" indent="1"/>
      <protection locked="0"/>
    </xf>
    <xf numFmtId="0" fontId="94" fillId="0" borderId="0" xfId="0" applyNumberFormat="1" applyFont="1" applyAlignment="1">
      <alignment vertical="center"/>
    </xf>
    <xf numFmtId="0" fontId="94" fillId="0" borderId="0" xfId="0" applyNumberFormat="1" applyFont="1" applyAlignment="1">
      <alignment vertical="center" wrapText="1"/>
    </xf>
    <xf numFmtId="164" fontId="5" fillId="0" borderId="14" xfId="0" applyNumberFormat="1" applyFont="1" applyBorder="1" applyAlignment="1">
      <alignment horizontal="center" vertical="center" wrapText="1"/>
    </xf>
    <xf numFmtId="14" fontId="5" fillId="12" borderId="3" xfId="0" applyNumberFormat="1" applyFont="1" applyFill="1" applyBorder="1" applyAlignment="1" applyProtection="1">
      <alignment horizontal="left" vertical="center" wrapText="1" indent="1"/>
      <protection locked="0"/>
    </xf>
    <xf numFmtId="0" fontId="5" fillId="7" borderId="14" xfId="0" applyNumberFormat="1" applyFont="1" applyFill="1" applyBorder="1" applyAlignment="1">
      <alignment horizontal="left" vertical="center" wrapText="1" indent="1"/>
    </xf>
    <xf numFmtId="164" fontId="5" fillId="0" borderId="8" xfId="0" applyNumberFormat="1" applyFont="1" applyBorder="1" applyAlignment="1">
      <alignment horizontal="center" vertical="center" wrapText="1"/>
    </xf>
    <xf numFmtId="49" fontId="32" fillId="10" borderId="21" xfId="0" applyNumberFormat="1" applyFont="1" applyFill="1" applyBorder="1" applyAlignment="1">
      <alignment horizontal="right" vertical="center" wrapText="1"/>
    </xf>
    <xf numFmtId="49" fontId="0" fillId="10" borderId="18" xfId="0" applyNumberFormat="1" applyFont="1" applyFill="1" applyBorder="1" applyAlignment="1">
      <alignment horizontal="right" vertical="center" wrapText="1"/>
    </xf>
    <xf numFmtId="49" fontId="35" fillId="10" borderId="18" xfId="0" applyNumberFormat="1" applyFont="1" applyFill="1" applyBorder="1" applyAlignment="1">
      <alignment horizontal="left" vertical="center" wrapText="1"/>
    </xf>
    <xf numFmtId="0" fontId="30" fillId="0" borderId="18" xfId="0" applyNumberFormat="1" applyFont="1" applyBorder="1" applyAlignment="1">
      <alignment horizontal="center" vertical="center" wrapText="1"/>
    </xf>
    <xf numFmtId="0" fontId="30" fillId="0" borderId="0" xfId="0" applyNumberFormat="1" applyFont="1" applyAlignment="1">
      <alignment horizontal="center" vertical="center"/>
    </xf>
    <xf numFmtId="0" fontId="24" fillId="0" borderId="0" xfId="0" applyNumberFormat="1" applyFont="1" applyAlignment="1">
      <alignment horizontal="center" vertical="center" wrapText="1"/>
    </xf>
    <xf numFmtId="14" fontId="5" fillId="13" borderId="3" xfId="0" applyNumberFormat="1" applyFont="1" applyFill="1" applyBorder="1" applyAlignment="1">
      <alignment horizontal="left" vertical="center" wrapText="1"/>
    </xf>
    <xf numFmtId="164" fontId="5" fillId="0" borderId="28"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29" fillId="8" borderId="0" xfId="0" applyNumberFormat="1" applyFont="1" applyFill="1" applyAlignment="1"/>
    <xf numFmtId="0" fontId="5" fillId="0" borderId="6"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49" fontId="30" fillId="0" borderId="0" xfId="0" applyNumberFormat="1" applyFont="1" applyAlignment="1">
      <alignment horizontal="center" vertical="center"/>
    </xf>
    <xf numFmtId="49" fontId="49" fillId="0" borderId="0" xfId="0" applyNumberFormat="1" applyFont="1">
      <alignment vertical="top"/>
    </xf>
    <xf numFmtId="0" fontId="24" fillId="0" borderId="0" xfId="0" applyNumberFormat="1" applyFont="1" applyAlignment="1">
      <alignment vertical="center"/>
    </xf>
    <xf numFmtId="0" fontId="5" fillId="0" borderId="27"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49" fontId="5" fillId="0" borderId="27" xfId="0" applyNumberFormat="1" applyFont="1" applyBorder="1" applyAlignment="1">
      <alignment horizontal="left" vertical="center" wrapText="1"/>
    </xf>
    <xf numFmtId="49" fontId="5" fillId="0" borderId="2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5" fillId="0" borderId="27" xfId="0" applyNumberFormat="1" applyFont="1" applyBorder="1" applyAlignment="1">
      <alignment horizontal="left" vertical="center" wrapText="1"/>
    </xf>
    <xf numFmtId="49" fontId="5" fillId="0" borderId="27" xfId="0" applyNumberFormat="1" applyFont="1" applyBorder="1" applyAlignment="1">
      <alignment vertical="center" wrapText="1"/>
    </xf>
    <xf numFmtId="0" fontId="5" fillId="0" borderId="14" xfId="0" applyNumberFormat="1" applyFont="1" applyBorder="1" applyAlignment="1">
      <alignment horizontal="left" vertical="center" wrapText="1"/>
    </xf>
    <xf numFmtId="0" fontId="22" fillId="0" borderId="14" xfId="0" applyNumberFormat="1" applyFont="1" applyBorder="1" applyAlignment="1">
      <alignment horizontal="left" vertical="center"/>
    </xf>
    <xf numFmtId="0" fontId="22" fillId="10" borderId="5" xfId="0" applyNumberFormat="1" applyFont="1" applyFill="1" applyBorder="1" applyAlignment="1">
      <alignment horizontal="left" vertical="center"/>
    </xf>
    <xf numFmtId="0" fontId="22" fillId="0" borderId="27" xfId="0" applyNumberFormat="1" applyFont="1" applyBorder="1" applyAlignment="1">
      <alignment horizontal="left" vertical="center"/>
    </xf>
    <xf numFmtId="0" fontId="22" fillId="10" borderId="28" xfId="0" applyNumberFormat="1" applyFont="1" applyFill="1" applyBorder="1" applyAlignment="1">
      <alignment horizontal="left" vertical="center"/>
    </xf>
    <xf numFmtId="49" fontId="49" fillId="10" borderId="5" xfId="0" applyNumberFormat="1" applyFont="1" applyFill="1" applyBorder="1">
      <alignment vertical="top"/>
    </xf>
    <xf numFmtId="49" fontId="49" fillId="10" borderId="6" xfId="0" applyNumberFormat="1" applyFont="1" applyFill="1" applyBorder="1">
      <alignment vertical="top"/>
    </xf>
    <xf numFmtId="49" fontId="5" fillId="13" borderId="8" xfId="0" applyNumberFormat="1" applyFont="1" applyFill="1" applyBorder="1" applyAlignment="1">
      <alignment vertical="center" wrapText="1"/>
    </xf>
    <xf numFmtId="0" fontId="5" fillId="0" borderId="28" xfId="0" applyNumberFormat="1" applyFont="1" applyBorder="1" applyAlignment="1">
      <alignment horizontal="center" vertical="center" wrapText="1"/>
    </xf>
    <xf numFmtId="49" fontId="0" fillId="0" borderId="0" xfId="0" applyNumberFormat="1" applyFont="1">
      <alignment vertical="top"/>
    </xf>
    <xf numFmtId="49" fontId="29" fillId="0" borderId="0" xfId="0" applyNumberFormat="1" applyFont="1" applyAlignment="1">
      <alignment horizontal="center" vertical="center"/>
    </xf>
    <xf numFmtId="0" fontId="95" fillId="0" borderId="0" xfId="0" applyNumberFormat="1" applyFont="1" applyAlignment="1">
      <alignment vertical="center" wrapText="1"/>
    </xf>
    <xf numFmtId="0" fontId="96" fillId="0" borderId="0" xfId="0" applyNumberFormat="1" applyFont="1" applyAlignment="1">
      <alignment vertical="center" wrapText="1"/>
    </xf>
    <xf numFmtId="0" fontId="5" fillId="0" borderId="8"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5" fillId="0" borderId="0" xfId="0" applyNumberFormat="1" applyFont="1" applyAlignment="1">
      <alignment horizontal="left" vertical="center" wrapText="1"/>
    </xf>
    <xf numFmtId="49" fontId="5" fillId="0" borderId="10" xfId="0" applyNumberFormat="1" applyFont="1" applyBorder="1" applyAlignment="1">
      <alignment vertical="center" wrapText="1"/>
    </xf>
    <xf numFmtId="49" fontId="5" fillId="0" borderId="10" xfId="0" applyNumberFormat="1" applyFont="1" applyBorder="1" applyAlignment="1">
      <alignment horizontal="left" vertical="center" wrapText="1"/>
    </xf>
    <xf numFmtId="49" fontId="19" fillId="0" borderId="10" xfId="0" applyNumberFormat="1" applyFont="1" applyBorder="1" applyAlignment="1">
      <alignment vertical="center" wrapText="1"/>
    </xf>
    <xf numFmtId="49" fontId="5" fillId="0" borderId="10" xfId="0" applyNumberFormat="1" applyFont="1" applyBorder="1" applyAlignment="1">
      <alignment horizontal="center" vertical="center" wrapText="1"/>
    </xf>
    <xf numFmtId="0" fontId="5" fillId="0" borderId="10" xfId="0" applyNumberFormat="1" applyFont="1" applyBorder="1" applyAlignment="1">
      <alignment horizontal="left" vertical="center" wrapText="1"/>
    </xf>
    <xf numFmtId="49" fontId="5" fillId="0" borderId="10" xfId="0" applyNumberFormat="1" applyFont="1" applyBorder="1" applyAlignment="1">
      <alignment vertical="center" wrapText="1"/>
    </xf>
    <xf numFmtId="49" fontId="5" fillId="0" borderId="0" xfId="0" applyNumberFormat="1" applyFont="1" applyAlignment="1">
      <alignment vertical="center" wrapText="1"/>
    </xf>
    <xf numFmtId="49" fontId="5" fillId="0" borderId="0" xfId="0" applyNumberFormat="1" applyFont="1" applyAlignment="1">
      <alignment horizontal="left" vertical="center" wrapText="1"/>
    </xf>
    <xf numFmtId="49" fontId="19" fillId="0" borderId="0" xfId="0" applyNumberFormat="1" applyFont="1" applyAlignment="1">
      <alignment vertical="center" wrapText="1"/>
    </xf>
    <xf numFmtId="49" fontId="5" fillId="0" borderId="0" xfId="0" applyNumberFormat="1" applyFont="1" applyAlignment="1">
      <alignment horizontal="center" vertical="center" wrapText="1"/>
    </xf>
    <xf numFmtId="0" fontId="5" fillId="0" borderId="0" xfId="0" applyNumberFormat="1" applyFont="1" applyAlignment="1">
      <alignment horizontal="left" vertical="center" wrapText="1"/>
    </xf>
    <xf numFmtId="0" fontId="22" fillId="0" borderId="0" xfId="0" applyNumberFormat="1" applyFont="1" applyAlignment="1">
      <alignment horizontal="left" vertical="center"/>
    </xf>
    <xf numFmtId="49" fontId="19" fillId="0" borderId="0" xfId="0" applyNumberFormat="1" applyFont="1" applyAlignment="1">
      <alignment horizontal="center" vertical="center" wrapText="1"/>
    </xf>
    <xf numFmtId="0" fontId="22" fillId="0" borderId="0" xfId="0" applyNumberFormat="1" applyFont="1" applyAlignment="1">
      <alignment vertical="center"/>
    </xf>
    <xf numFmtId="49" fontId="49" fillId="0" borderId="21" xfId="0" applyNumberFormat="1" applyFont="1" applyBorder="1">
      <alignment vertical="top"/>
    </xf>
    <xf numFmtId="49" fontId="5" fillId="0" borderId="28" xfId="0" applyNumberFormat="1" applyFont="1" applyBorder="1" applyAlignment="1">
      <alignment vertical="center" wrapText="1"/>
    </xf>
    <xf numFmtId="49" fontId="5" fillId="0" borderId="13" xfId="0" applyNumberFormat="1" applyFont="1" applyBorder="1" applyAlignment="1">
      <alignment vertical="center" wrapText="1"/>
    </xf>
    <xf numFmtId="0" fontId="22" fillId="0" borderId="13" xfId="0" applyNumberFormat="1" applyFont="1" applyBorder="1" applyAlignment="1">
      <alignment horizontal="left" vertical="center"/>
    </xf>
    <xf numFmtId="49" fontId="49" fillId="0" borderId="18" xfId="0" applyNumberFormat="1" applyFont="1" applyBorder="1">
      <alignment vertical="top"/>
    </xf>
    <xf numFmtId="49" fontId="5" fillId="0" borderId="27" xfId="0" applyNumberFormat="1" applyFont="1" applyBorder="1" applyAlignment="1">
      <alignment horizontal="center" vertical="center" wrapText="1"/>
    </xf>
    <xf numFmtId="0" fontId="22" fillId="10" borderId="28" xfId="0" applyNumberFormat="1" applyFont="1" applyFill="1" applyBorder="1" applyAlignment="1">
      <alignment vertical="center"/>
    </xf>
    <xf numFmtId="49" fontId="0" fillId="0" borderId="3" xfId="0" applyNumberFormat="1" applyFont="1" applyBorder="1" applyAlignment="1">
      <alignment horizontal="left" vertical="center" wrapText="1" indent="1"/>
    </xf>
    <xf numFmtId="49" fontId="0" fillId="0" borderId="0" xfId="0" applyNumberFormat="1" applyFont="1">
      <alignment vertical="top"/>
    </xf>
    <xf numFmtId="0" fontId="5" fillId="0" borderId="0" xfId="0" applyNumberFormat="1" applyFont="1" applyAlignment="1">
      <alignment vertical="center" wrapText="1"/>
    </xf>
    <xf numFmtId="0" fontId="14" fillId="0" borderId="0" xfId="0" applyNumberFormat="1" applyFont="1" applyAlignment="1">
      <alignment vertical="center" wrapText="1"/>
    </xf>
    <xf numFmtId="0" fontId="24" fillId="0" borderId="0" xfId="0" applyNumberFormat="1" applyFont="1" applyAlignment="1">
      <alignment vertical="center" wrapText="1"/>
    </xf>
    <xf numFmtId="0" fontId="5" fillId="0" borderId="0" xfId="0" applyNumberFormat="1" applyFont="1" applyAlignment="1">
      <alignment horizontal="left" vertical="center" wrapText="1"/>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70" fillId="0" borderId="0" xfId="0" applyNumberFormat="1" applyFont="1" applyAlignment="1">
      <alignment vertical="center" wrapText="1"/>
    </xf>
    <xf numFmtId="0" fontId="30" fillId="0" borderId="0" xfId="0" applyNumberFormat="1" applyFont="1" applyAlignment="1">
      <alignment vertical="center" wrapText="1"/>
    </xf>
    <xf numFmtId="0" fontId="46" fillId="0" borderId="0" xfId="0" applyNumberFormat="1" applyFont="1" applyAlignment="1">
      <alignment vertical="center" wrapText="1"/>
    </xf>
    <xf numFmtId="49" fontId="5" fillId="0" borderId="3" xfId="0" applyNumberFormat="1" applyFont="1" applyBorder="1" applyAlignment="1">
      <alignment horizontal="center" vertical="center" wrapText="1"/>
    </xf>
    <xf numFmtId="0" fontId="19"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0" fontId="19" fillId="8" borderId="0" xfId="0" applyNumberFormat="1" applyFont="1" applyFill="1" applyAlignment="1">
      <alignment horizontal="center" vertical="center" wrapText="1"/>
    </xf>
    <xf numFmtId="49" fontId="5" fillId="0" borderId="3" xfId="0" applyNumberFormat="1" applyFont="1" applyBorder="1" applyAlignment="1">
      <alignment horizontal="center" vertical="center" wrapText="1"/>
    </xf>
    <xf numFmtId="3" fontId="5" fillId="12" borderId="3" xfId="0" applyNumberFormat="1" applyFont="1" applyFill="1" applyBorder="1" applyAlignment="1" applyProtection="1">
      <alignment horizontal="right" vertical="center" wrapText="1"/>
      <protection locked="0"/>
    </xf>
    <xf numFmtId="0" fontId="30" fillId="0" borderId="0" xfId="0" applyNumberFormat="1" applyFont="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30" fillId="0" borderId="0" xfId="0" applyNumberFormat="1" applyFont="1" applyAlignment="1">
      <alignment vertical="center"/>
    </xf>
    <xf numFmtId="0" fontId="19" fillId="8" borderId="3" xfId="0" applyNumberFormat="1" applyFont="1" applyFill="1" applyBorder="1" applyAlignment="1">
      <alignment horizontal="center" vertical="center" wrapText="1"/>
    </xf>
    <xf numFmtId="0" fontId="29" fillId="0" borderId="13" xfId="0" applyNumberFormat="1" applyFont="1" applyBorder="1" applyAlignment="1">
      <alignment vertical="center"/>
    </xf>
    <xf numFmtId="0" fontId="29" fillId="0" borderId="13" xfId="0" applyNumberFormat="1" applyFont="1" applyBorder="1" applyAlignment="1">
      <alignment vertical="center"/>
    </xf>
    <xf numFmtId="0" fontId="5" fillId="0" borderId="8" xfId="0" applyNumberFormat="1" applyFont="1" applyBorder="1" applyAlignment="1">
      <alignment horizontal="left" vertical="center" wrapText="1" indent="1"/>
    </xf>
    <xf numFmtId="49" fontId="5" fillId="0" borderId="48" xfId="0" applyNumberFormat="1" applyFont="1" applyBorder="1" applyAlignment="1">
      <alignment horizontal="center" vertical="center" wrapText="1"/>
    </xf>
    <xf numFmtId="49" fontId="5" fillId="0" borderId="19" xfId="0" applyNumberFormat="1" applyFont="1" applyBorder="1" applyAlignment="1">
      <alignment horizontal="center" vertical="center" wrapText="1"/>
    </xf>
    <xf numFmtId="0" fontId="5" fillId="0" borderId="0" xfId="0" applyNumberFormat="1" applyFont="1" applyAlignment="1">
      <alignment vertical="center" wrapText="1"/>
    </xf>
    <xf numFmtId="0" fontId="14" fillId="0" borderId="0" xfId="0" applyNumberFormat="1" applyFont="1" applyAlignment="1">
      <alignment vertical="center" wrapText="1"/>
    </xf>
    <xf numFmtId="0" fontId="19"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30" fillId="0" borderId="0" xfId="0" applyNumberFormat="1" applyFont="1" applyAlignment="1">
      <alignment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36" fillId="0" borderId="0" xfId="0" applyNumberFormat="1" applyFont="1" applyAlignment="1">
      <alignment vertical="center"/>
    </xf>
    <xf numFmtId="0" fontId="54" fillId="0" borderId="0" xfId="0" applyNumberFormat="1" applyFont="1" applyAlignment="1">
      <alignment vertical="center" wrapText="1"/>
    </xf>
    <xf numFmtId="0" fontId="30"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horizontal="left" vertical="center" wrapText="1" indent="2"/>
    </xf>
    <xf numFmtId="0" fontId="30" fillId="0" borderId="8"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49" fontId="0" fillId="0" borderId="3" xfId="0" applyNumberFormat="1" applyFont="1" applyBorder="1" applyAlignment="1">
      <alignment vertical="center" wrapText="1"/>
    </xf>
    <xf numFmtId="0" fontId="30" fillId="0" borderId="5" xfId="0" applyNumberFormat="1" applyFont="1" applyBorder="1" applyAlignment="1">
      <alignment vertical="center" wrapText="1"/>
    </xf>
    <xf numFmtId="0" fontId="30" fillId="0" borderId="5" xfId="0" applyNumberFormat="1" applyFont="1" applyBorder="1" applyAlignment="1">
      <alignment horizontal="left" vertical="top" wrapText="1"/>
    </xf>
    <xf numFmtId="49" fontId="5" fillId="0" borderId="49"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49" fontId="22" fillId="10" borderId="10" xfId="0" applyNumberFormat="1" applyFont="1" applyFill="1" applyBorder="1" applyAlignment="1">
      <alignment horizontal="left" vertical="center" indent="2"/>
    </xf>
    <xf numFmtId="49"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indent="2"/>
    </xf>
    <xf numFmtId="49" fontId="5" fillId="0" borderId="0" xfId="0" applyNumberFormat="1" applyFont="1" applyAlignment="1">
      <alignment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xf>
    <xf numFmtId="49" fontId="5" fillId="0" borderId="50" xfId="0" applyNumberFormat="1" applyFont="1" applyBorder="1" applyAlignment="1">
      <alignment horizontal="center" vertical="center" wrapText="1"/>
    </xf>
    <xf numFmtId="4" fontId="5" fillId="12" borderId="8" xfId="0" applyNumberFormat="1" applyFont="1" applyFill="1" applyBorder="1" applyAlignment="1" applyProtection="1">
      <alignment horizontal="right" vertical="center" wrapText="1"/>
      <protection locked="0"/>
    </xf>
    <xf numFmtId="49" fontId="22" fillId="0" borderId="10" xfId="0" applyNumberFormat="1" applyFont="1" applyBorder="1" applyAlignment="1">
      <alignment horizontal="left" vertical="center"/>
    </xf>
    <xf numFmtId="49" fontId="22" fillId="0" borderId="10" xfId="0" applyNumberFormat="1" applyFont="1" applyBorder="1" applyAlignment="1">
      <alignment horizontal="left" vertical="center" indent="2"/>
    </xf>
    <xf numFmtId="49" fontId="26" fillId="0" borderId="10" xfId="0" applyNumberFormat="1" applyFont="1" applyBorder="1" applyAlignment="1">
      <alignment horizontal="center" vertical="top"/>
    </xf>
    <xf numFmtId="0" fontId="5" fillId="0" borderId="10" xfId="0" applyNumberFormat="1" applyFont="1" applyBorder="1" applyAlignment="1">
      <alignment horizontal="left" vertical="top" wrapText="1"/>
    </xf>
    <xf numFmtId="0" fontId="5" fillId="0" borderId="0" xfId="0" applyNumberFormat="1" applyFont="1" applyAlignment="1">
      <alignment horizontal="right" vertical="top" wrapText="1"/>
    </xf>
    <xf numFmtId="49" fontId="0" fillId="12" borderId="3" xfId="0" applyNumberFormat="1" applyFont="1" applyFill="1" applyBorder="1" applyAlignment="1" applyProtection="1">
      <alignment horizontal="left" vertical="center" wrapText="1" indent="1"/>
      <protection locked="0"/>
    </xf>
    <xf numFmtId="49" fontId="29" fillId="0" borderId="0" xfId="0" applyNumberFormat="1" applyFont="1">
      <alignment vertical="top"/>
    </xf>
    <xf numFmtId="49"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0" fontId="5" fillId="8" borderId="0" xfId="0" applyNumberFormat="1" applyFont="1" applyFill="1" applyAlignment="1"/>
    <xf numFmtId="0" fontId="5" fillId="0" borderId="0" xfId="0" applyNumberFormat="1" applyFont="1" applyAlignment="1">
      <alignment vertical="top" wrapText="1"/>
    </xf>
    <xf numFmtId="0" fontId="19" fillId="8" borderId="0" xfId="0" applyNumberFormat="1" applyFont="1" applyFill="1" applyAlignment="1">
      <alignment horizontal="center" vertical="center" wrapText="1"/>
    </xf>
    <xf numFmtId="0" fontId="0" fillId="8" borderId="14" xfId="0" applyNumberFormat="1" applyFont="1" applyFill="1" applyBorder="1" applyAlignment="1">
      <alignment vertical="center" wrapText="1"/>
    </xf>
    <xf numFmtId="49" fontId="0" fillId="0" borderId="0" xfId="0" applyNumberFormat="1" applyFont="1">
      <alignment vertical="top"/>
    </xf>
    <xf numFmtId="0" fontId="0" fillId="0" borderId="0" xfId="0" applyNumberFormat="1" applyFont="1">
      <alignment vertical="top"/>
    </xf>
    <xf numFmtId="49" fontId="14"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49" fontId="0" fillId="0" borderId="0" xfId="0" applyNumberFormat="1" applyFont="1" applyAlignment="1">
      <alignment vertical="center"/>
    </xf>
    <xf numFmtId="0" fontId="0" fillId="21" borderId="0" xfId="0" applyNumberFormat="1" applyFont="1" applyFill="1" applyAlignment="1">
      <alignment horizontal="right" vertical="center"/>
    </xf>
    <xf numFmtId="0" fontId="36" fillId="21" borderId="0" xfId="0" applyNumberFormat="1" applyFont="1" applyFill="1" applyAlignment="1">
      <alignment horizontal="left" vertical="center"/>
    </xf>
    <xf numFmtId="0" fontId="0" fillId="0" borderId="0" xfId="0" applyNumberFormat="1" applyFont="1" applyAlignment="1">
      <alignment horizontal="right" vertical="top"/>
    </xf>
    <xf numFmtId="0" fontId="0" fillId="21" borderId="1" xfId="0" applyNumberFormat="1" applyFont="1" applyFill="1" applyBorder="1" applyAlignment="1">
      <alignment horizontal="center"/>
    </xf>
    <xf numFmtId="0" fontId="0" fillId="0" borderId="1" xfId="0" applyNumberFormat="1" applyFont="1" applyBorder="1" applyAlignment="1">
      <alignment horizontal="center"/>
    </xf>
    <xf numFmtId="0" fontId="97" fillId="0" borderId="0" xfId="0" applyNumberFormat="1" applyFont="1" applyAlignment="1">
      <alignment wrapText="1"/>
    </xf>
    <xf numFmtId="49" fontId="48" fillId="0" borderId="0" xfId="0" applyNumberFormat="1" applyFont="1" applyAlignment="1">
      <alignment wrapText="1"/>
    </xf>
    <xf numFmtId="49" fontId="48" fillId="0" borderId="0" xfId="0" applyNumberFormat="1" applyFont="1" applyAlignment="1">
      <alignment vertical="center" wrapText="1"/>
    </xf>
    <xf numFmtId="49" fontId="98" fillId="0" borderId="0" xfId="0" applyNumberFormat="1" applyFont="1" applyAlignment="1">
      <alignment wrapText="1"/>
    </xf>
    <xf numFmtId="0" fontId="84" fillId="0" borderId="0" xfId="0" applyNumberFormat="1" applyFont="1" applyAlignment="1">
      <alignment horizontal="left" vertical="center" wrapText="1"/>
    </xf>
    <xf numFmtId="49" fontId="99" fillId="0" borderId="0" xfId="0" applyNumberFormat="1" applyFont="1" applyAlignment="1">
      <alignment wrapText="1"/>
    </xf>
    <xf numFmtId="0" fontId="28" fillId="0" borderId="0" xfId="0" applyNumberFormat="1" applyFont="1" applyAlignment="1">
      <alignment horizontal="left" vertical="top" wrapText="1"/>
    </xf>
    <xf numFmtId="49" fontId="5" fillId="0" borderId="0" xfId="0" applyNumberFormat="1" applyFont="1" applyAlignment="1">
      <alignment vertical="top" wrapText="1"/>
    </xf>
    <xf numFmtId="0" fontId="48" fillId="0" borderId="0" xfId="0" applyNumberFormat="1" applyFont="1" applyAlignment="1">
      <alignment wrapText="1"/>
    </xf>
    <xf numFmtId="0" fontId="100" fillId="0" borderId="0" xfId="0" applyNumberFormat="1" applyFont="1" applyAlignment="1">
      <alignment horizontal="left" vertical="center" wrapText="1"/>
    </xf>
    <xf numFmtId="0" fontId="101" fillId="0" borderId="0" xfId="0" applyNumberFormat="1" applyFont="1" applyAlignment="1">
      <alignment vertical="center" wrapText="1"/>
    </xf>
    <xf numFmtId="0" fontId="48" fillId="0" borderId="29" xfId="0" applyNumberFormat="1" applyFont="1" applyBorder="1" applyAlignment="1">
      <alignment wrapText="1"/>
    </xf>
    <xf numFmtId="0" fontId="48" fillId="0" borderId="0" xfId="0" applyNumberFormat="1" applyFont="1" applyAlignment="1"/>
    <xf numFmtId="0" fontId="100" fillId="0" borderId="0" xfId="0" applyNumberFormat="1" applyFont="1" applyAlignment="1"/>
    <xf numFmtId="0" fontId="102" fillId="0" borderId="0" xfId="0" applyNumberFormat="1" applyFont="1" applyAlignment="1">
      <alignment wrapText="1"/>
    </xf>
    <xf numFmtId="0" fontId="0" fillId="9" borderId="51" xfId="0" applyNumberFormat="1" applyFont="1" applyFill="1" applyBorder="1" applyAlignment="1">
      <alignment horizontal="center" vertical="center" wrapText="1"/>
    </xf>
    <xf numFmtId="0" fontId="0" fillId="26" borderId="51" xfId="0" applyNumberFormat="1" applyFont="1" applyFill="1" applyBorder="1" applyAlignment="1">
      <alignment horizontal="center" vertical="center" wrapText="1"/>
    </xf>
    <xf numFmtId="0" fontId="0" fillId="7" borderId="51" xfId="0" applyNumberFormat="1" applyFont="1" applyFill="1" applyBorder="1" applyAlignment="1">
      <alignment horizontal="center" vertical="center" wrapText="1"/>
    </xf>
    <xf numFmtId="0" fontId="0" fillId="12" borderId="51" xfId="0" applyNumberFormat="1" applyFont="1" applyFill="1" applyBorder="1" applyAlignment="1">
      <alignment horizontal="center" vertical="center" wrapText="1"/>
    </xf>
    <xf numFmtId="0" fontId="100" fillId="0" borderId="29" xfId="0" applyNumberFormat="1" applyFont="1" applyBorder="1" applyAlignment="1">
      <alignment horizontal="left" vertical="center" wrapText="1"/>
    </xf>
    <xf numFmtId="0" fontId="100" fillId="0" borderId="52" xfId="0" applyNumberFormat="1" applyFont="1" applyBorder="1" applyAlignment="1">
      <alignment horizontal="left" vertical="center" wrapText="1"/>
    </xf>
    <xf numFmtId="0" fontId="102" fillId="0" borderId="0" xfId="0" applyNumberFormat="1" applyFont="1" applyAlignment="1"/>
    <xf numFmtId="0" fontId="102" fillId="0" borderId="29" xfId="0" applyNumberFormat="1" applyFont="1" applyBorder="1" applyAlignment="1">
      <alignment wrapText="1"/>
    </xf>
    <xf numFmtId="0" fontId="48" fillId="0" borderId="53" xfId="0" applyNumberFormat="1" applyFont="1" applyBorder="1" applyAlignment="1">
      <alignment wrapText="1"/>
    </xf>
    <xf numFmtId="0" fontId="48" fillId="0" borderId="30" xfId="0" applyNumberFormat="1" applyFont="1" applyBorder="1" applyAlignment="1">
      <alignment wrapText="1"/>
    </xf>
    <xf numFmtId="0" fontId="48" fillId="0" borderId="30" xfId="0" applyNumberFormat="1" applyFont="1" applyBorder="1" applyAlignment="1">
      <alignment vertical="center" wrapText="1"/>
    </xf>
    <xf numFmtId="0" fontId="98" fillId="0" borderId="0" xfId="0" applyNumberFormat="1" applyFont="1" applyAlignment="1"/>
    <xf numFmtId="0" fontId="18" fillId="0" borderId="1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103" fillId="0" borderId="0" xfId="0" applyNumberFormat="1" applyFont="1" applyAlignment="1">
      <alignment horizontal="center" vertical="center" wrapText="1"/>
    </xf>
    <xf numFmtId="49" fontId="5" fillId="21" borderId="0" xfId="0" applyNumberFormat="1" applyFont="1" applyFill="1" applyAlignment="1">
      <alignment horizontal="center" vertical="center"/>
    </xf>
    <xf numFmtId="167" fontId="0" fillId="12" borderId="3" xfId="0" applyNumberFormat="1" applyFont="1" applyFill="1" applyBorder="1" applyAlignment="1" applyProtection="1">
      <alignment horizontal="left" vertical="center" wrapText="1" indent="1"/>
      <protection locked="0"/>
    </xf>
    <xf numFmtId="167" fontId="0" fillId="0" borderId="3" xfId="0" applyNumberFormat="1" applyFont="1" applyBorder="1" applyAlignment="1">
      <alignment horizontal="left" vertical="center" wrapText="1" indent="1"/>
    </xf>
    <xf numFmtId="167" fontId="0" fillId="12" borderId="3" xfId="0" applyNumberFormat="1" applyFont="1" applyFill="1" applyBorder="1" applyAlignment="1" applyProtection="1">
      <alignment horizontal="center" vertical="center" wrapText="1"/>
      <protection locked="0"/>
    </xf>
    <xf numFmtId="167" fontId="30" fillId="0" borderId="0" xfId="0" applyNumberFormat="1" applyFont="1" applyAlignment="1">
      <alignment horizontal="center" vertical="center" wrapText="1"/>
    </xf>
    <xf numFmtId="167" fontId="30" fillId="0" borderId="3" xfId="0" applyNumberFormat="1" applyFont="1" applyBorder="1" applyAlignment="1">
      <alignment horizontal="center" vertical="center" wrapText="1"/>
    </xf>
    <xf numFmtId="167" fontId="0" fillId="12" borderId="3" xfId="0" applyNumberFormat="1" applyFont="1" applyFill="1" applyBorder="1" applyAlignment="1" applyProtection="1">
      <alignment horizontal="left" vertical="center" wrapText="1"/>
      <protection locked="0"/>
    </xf>
    <xf numFmtId="167" fontId="0" fillId="9" borderId="3" xfId="0" applyNumberFormat="1" applyFont="1" applyFill="1" applyBorder="1" applyAlignment="1" applyProtection="1">
      <alignment horizontal="left" vertical="center" wrapText="1" indent="1"/>
      <protection locked="0"/>
    </xf>
    <xf numFmtId="167" fontId="0" fillId="12" borderId="4" xfId="0" applyNumberFormat="1" applyFont="1" applyFill="1" applyBorder="1" applyAlignment="1" applyProtection="1">
      <alignment horizontal="left" vertical="center" wrapText="1"/>
      <protection locked="0"/>
    </xf>
    <xf numFmtId="0" fontId="5" fillId="0" borderId="0" xfId="0" applyNumberFormat="1" applyFont="1" applyAlignment="1">
      <alignment horizontal="left" vertical="top" indent="1"/>
    </xf>
    <xf numFmtId="0" fontId="5" fillId="7" borderId="21" xfId="0" applyNumberFormat="1" applyFont="1" applyFill="1" applyBorder="1" applyAlignment="1">
      <alignment horizontal="center" vertical="top"/>
    </xf>
    <xf numFmtId="0" fontId="0" fillId="0" borderId="25" xfId="0" applyNumberFormat="1" applyFont="1" applyBorder="1" applyAlignment="1">
      <alignment horizontal="center" vertical="center"/>
    </xf>
    <xf numFmtId="0" fontId="0" fillId="0" borderId="24" xfId="0" applyNumberFormat="1" applyFont="1" applyBorder="1" applyAlignment="1">
      <alignment horizontal="center" vertical="center"/>
    </xf>
    <xf numFmtId="0" fontId="5" fillId="7" borderId="21" xfId="0" applyNumberFormat="1" applyFont="1" applyFill="1" applyBorder="1" applyAlignment="1">
      <alignment horizontal="left" vertical="top"/>
    </xf>
    <xf numFmtId="0" fontId="5" fillId="0" borderId="3" xfId="0" applyNumberFormat="1" applyFont="1" applyBorder="1" applyAlignment="1">
      <alignment horizontal="left" vertical="top"/>
    </xf>
    <xf numFmtId="49" fontId="5" fillId="0" borderId="0" xfId="0" applyNumberFormat="1" applyFont="1" applyAlignment="1">
      <alignment horizontal="left" vertical="top"/>
    </xf>
    <xf numFmtId="0" fontId="0" fillId="7" borderId="27" xfId="0" applyNumberFormat="1" applyFont="1" applyFill="1" applyBorder="1" applyAlignment="1">
      <alignment horizontal="left" vertical="top" wrapText="1" indent="1"/>
    </xf>
    <xf numFmtId="49" fontId="5" fillId="13" borderId="27" xfId="0" applyNumberFormat="1" applyFont="1" applyFill="1" applyBorder="1" applyAlignment="1">
      <alignment horizontal="center" vertical="top" wrapText="1"/>
    </xf>
    <xf numFmtId="49" fontId="0" fillId="12" borderId="27" xfId="0" applyNumberFormat="1" applyFont="1" applyFill="1" applyBorder="1" applyAlignment="1" applyProtection="1">
      <alignment horizontal="center" vertical="top" wrapText="1"/>
      <protection locked="0"/>
    </xf>
    <xf numFmtId="49" fontId="0" fillId="9" borderId="27" xfId="0" applyNumberFormat="1" applyFont="1" applyFill="1" applyBorder="1" applyAlignment="1" applyProtection="1">
      <alignment horizontal="center" vertical="top" wrapText="1"/>
      <protection locked="0"/>
    </xf>
    <xf numFmtId="49" fontId="5" fillId="13" borderId="27" xfId="0" applyNumberFormat="1" applyFont="1" applyFill="1" applyBorder="1" applyAlignment="1">
      <alignment horizontal="left" vertical="top" wrapText="1"/>
    </xf>
    <xf numFmtId="49" fontId="5" fillId="12" borderId="27" xfId="0" applyNumberFormat="1" applyFont="1" applyFill="1" applyBorder="1" applyAlignment="1" applyProtection="1">
      <alignment horizontal="left" vertical="top" wrapText="1"/>
      <protection locked="0"/>
    </xf>
    <xf numFmtId="49" fontId="0" fillId="7" borderId="27" xfId="0" applyNumberFormat="1" applyFont="1" applyFill="1" applyBorder="1" applyAlignment="1">
      <alignment horizontal="center" vertical="top" wrapText="1"/>
    </xf>
    <xf numFmtId="0" fontId="5" fillId="7" borderId="27" xfId="0" applyNumberFormat="1" applyFont="1" applyFill="1" applyBorder="1" applyAlignment="1">
      <alignment horizontal="center" vertical="top" wrapText="1"/>
    </xf>
    <xf numFmtId="0" fontId="5" fillId="9" borderId="27" xfId="0" applyNumberFormat="1" applyFont="1" applyFill="1" applyBorder="1" applyAlignment="1" applyProtection="1">
      <alignment horizontal="left" vertical="top" wrapText="1"/>
      <protection locked="0"/>
    </xf>
    <xf numFmtId="0" fontId="22" fillId="0" borderId="27" xfId="0" applyNumberFormat="1" applyFont="1" applyBorder="1" applyAlignment="1">
      <alignment horizontal="left" vertical="center"/>
    </xf>
    <xf numFmtId="0" fontId="22" fillId="9" borderId="27" xfId="0" applyNumberFormat="1" applyFont="1" applyFill="1" applyBorder="1" applyAlignment="1" applyProtection="1">
      <alignment horizontal="left" vertical="center"/>
      <protection locked="0"/>
    </xf>
    <xf numFmtId="0" fontId="22" fillId="12" borderId="27" xfId="0" applyNumberFormat="1" applyFont="1" applyFill="1" applyBorder="1" applyAlignment="1" applyProtection="1">
      <alignment horizontal="left" vertical="center"/>
      <protection locked="0"/>
    </xf>
    <xf numFmtId="14" fontId="5" fillId="13" borderId="27" xfId="0" applyNumberFormat="1" applyFont="1" applyFill="1" applyBorder="1" applyAlignment="1">
      <alignment horizontal="left" vertical="center" wrapText="1" indent="1"/>
    </xf>
    <xf numFmtId="49" fontId="5" fillId="13"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0" fillId="8" borderId="3" xfId="0" applyNumberFormat="1" applyFont="1" applyFill="1" applyBorder="1" applyAlignment="1">
      <alignment vertical="top" wrapText="1"/>
    </xf>
    <xf numFmtId="0" fontId="29" fillId="0" borderId="3" xfId="0" applyNumberFormat="1" applyFont="1" applyBorder="1" applyAlignment="1">
      <alignment vertical="top" wrapText="1"/>
    </xf>
    <xf numFmtId="49" fontId="5" fillId="13" borderId="8" xfId="0" applyNumberFormat="1" applyFont="1" applyFill="1" applyBorder="1" applyAlignment="1">
      <alignment vertical="center" wrapText="1"/>
    </xf>
    <xf numFmtId="49" fontId="5" fillId="13" borderId="27" xfId="0" applyNumberFormat="1" applyFont="1" applyFill="1" applyBorder="1" applyAlignment="1">
      <alignment vertical="center" wrapText="1"/>
    </xf>
    <xf numFmtId="49" fontId="5" fillId="13" borderId="14" xfId="0" applyNumberFormat="1" applyFont="1" applyFill="1" applyBorder="1" applyAlignment="1">
      <alignment vertical="center" wrapText="1"/>
    </xf>
    <xf numFmtId="0" fontId="0" fillId="12" borderId="3" xfId="0" applyNumberFormat="1" applyFont="1" applyFill="1" applyBorder="1" applyAlignment="1" applyProtection="1">
      <alignment horizontal="left" vertical="center" wrapText="1" indent="1"/>
      <protection locked="0"/>
    </xf>
    <xf numFmtId="0" fontId="0" fillId="0" borderId="4"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0" fillId="0" borderId="3"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49" fontId="5" fillId="0" borderId="0" xfId="0" applyNumberFormat="1" applyFont="1" applyAlignment="1">
      <alignment horizontal="left" vertical="center" indent="1"/>
    </xf>
    <xf numFmtId="167" fontId="0" fillId="12" borderId="5" xfId="0" applyNumberFormat="1" applyFont="1" applyFill="1" applyBorder="1" applyAlignment="1" applyProtection="1">
      <alignment horizontal="left" vertical="center" wrapText="1"/>
      <protection locked="0"/>
    </xf>
    <xf numFmtId="167" fontId="0" fillId="0" borderId="2" xfId="0" applyNumberFormat="1" applyFont="1" applyBorder="1" applyAlignment="1">
      <alignment horizontal="left" vertical="center" wrapText="1" indent="1"/>
    </xf>
    <xf numFmtId="49" fontId="5" fillId="8" borderId="17" xfId="0" applyNumberFormat="1" applyFont="1" applyFill="1" applyBorder="1" applyAlignment="1">
      <alignment horizontal="right" vertical="center" wrapText="1" indent="1"/>
    </xf>
    <xf numFmtId="49" fontId="29" fillId="0" borderId="0" xfId="0" applyNumberFormat="1" applyFont="1" applyAlignment="1">
      <alignment vertical="center" wrapText="1"/>
    </xf>
    <xf numFmtId="49" fontId="0" fillId="9" borderId="3" xfId="0" applyNumberFormat="1" applyFont="1" applyFill="1" applyBorder="1" applyAlignment="1" applyProtection="1">
      <alignment horizontal="left" vertical="center" wrapText="1"/>
      <protection locked="0"/>
    </xf>
    <xf numFmtId="4" fontId="0" fillId="12" borderId="3" xfId="0" applyNumberFormat="1" applyFont="1" applyFill="1" applyBorder="1" applyAlignment="1" applyProtection="1">
      <alignment horizontal="right" vertical="center" wrapText="1"/>
      <protection locked="0"/>
    </xf>
    <xf numFmtId="49" fontId="5" fillId="0" borderId="0" xfId="0" applyNumberFormat="1" applyFont="1" applyAlignment="1">
      <alignment vertical="top" wrapText="1"/>
    </xf>
    <xf numFmtId="49" fontId="5" fillId="0" borderId="0" xfId="0" applyNumberFormat="1" applyFont="1">
      <alignment vertical="top"/>
    </xf>
    <xf numFmtId="49" fontId="5" fillId="0" borderId="0" xfId="0" applyNumberFormat="1" applyFont="1">
      <alignment vertical="top"/>
    </xf>
    <xf numFmtId="49" fontId="5" fillId="0" borderId="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0" fontId="5" fillId="13" borderId="27" xfId="0" applyNumberFormat="1" applyFont="1" applyFill="1" applyBorder="1" applyAlignment="1">
      <alignment horizontal="center" vertical="top" wrapText="1"/>
    </xf>
    <xf numFmtId="49" fontId="5" fillId="0" borderId="10" xfId="0" applyNumberFormat="1" applyFont="1" applyBorder="1" applyAlignment="1">
      <alignment horizontal="left" vertical="center" wrapText="1"/>
    </xf>
    <xf numFmtId="49" fontId="5" fillId="0" borderId="0" xfId="0" applyNumberFormat="1" applyFont="1" applyAlignment="1">
      <alignment horizontal="center" vertical="center" wrapText="1"/>
    </xf>
    <xf numFmtId="49" fontId="5" fillId="13" borderId="27" xfId="0" applyNumberFormat="1" applyFont="1" applyFill="1" applyBorder="1" applyAlignment="1">
      <alignment horizontal="center" vertical="center" wrapText="1"/>
    </xf>
    <xf numFmtId="0" fontId="22" fillId="0" borderId="0" xfId="0" applyNumberFormat="1" applyFont="1" applyAlignment="1">
      <alignment horizontal="left"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5" fillId="8"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30" fillId="0" borderId="0" xfId="0" applyNumberFormat="1" applyFont="1" applyAlignment="1">
      <alignment horizontal="center" vertical="center" wrapText="1"/>
    </xf>
    <xf numFmtId="0" fontId="27" fillId="0" borderId="3" xfId="0" applyNumberFormat="1" applyFont="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29" fillId="0" borderId="0" xfId="0" applyNumberFormat="1" applyFont="1" applyAlignment="1">
      <alignment horizontal="center" vertical="top"/>
    </xf>
    <xf numFmtId="49" fontId="5" fillId="0" borderId="27" xfId="0" applyNumberFormat="1" applyFont="1" applyBorder="1" applyAlignment="1">
      <alignment horizontal="center" vertical="top" wrapText="1"/>
    </xf>
    <xf numFmtId="0" fontId="5" fillId="0" borderId="3" xfId="0" applyNumberFormat="1" applyFont="1" applyBorder="1" applyAlignment="1">
      <alignment horizontal="left" vertical="center" wrapText="1"/>
    </xf>
    <xf numFmtId="0" fontId="18" fillId="0" borderId="3" xfId="0" applyNumberFormat="1" applyFont="1" applyBorder="1" applyAlignment="1">
      <alignment horizontal="center" vertical="center" wrapText="1"/>
    </xf>
    <xf numFmtId="49" fontId="22" fillId="10" borderId="42" xfId="0" applyNumberFormat="1" applyFont="1" applyFill="1" applyBorder="1" applyAlignment="1">
      <alignment horizontal="left" vertical="center" indent="1"/>
    </xf>
    <xf numFmtId="49" fontId="5" fillId="9" borderId="3" xfId="0" applyNumberFormat="1" applyFont="1" applyFill="1" applyBorder="1" applyAlignment="1" applyProtection="1">
      <alignment horizontal="left" vertical="center" wrapText="1"/>
      <protection locked="0"/>
    </xf>
    <xf numFmtId="49" fontId="30" fillId="0" borderId="3" xfId="0" applyNumberFormat="1" applyFont="1" applyBorder="1" applyAlignment="1">
      <alignment horizontal="center" vertical="center" wrapText="1"/>
    </xf>
    <xf numFmtId="167"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0" fontId="5" fillId="0" borderId="27" xfId="0" applyNumberFormat="1" applyFont="1" applyBorder="1" applyAlignment="1">
      <alignment horizontal="center" vertical="center" wrapText="1"/>
    </xf>
    <xf numFmtId="0" fontId="5" fillId="8" borderId="5" xfId="0" applyNumberFormat="1" applyFont="1" applyFill="1" applyBorder="1" applyAlignment="1">
      <alignment horizontal="center" vertical="center" wrapText="1"/>
    </xf>
    <xf numFmtId="49" fontId="0"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5" fillId="13" borderId="5"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27" fillId="0" borderId="4" xfId="0" applyNumberFormat="1" applyFont="1" applyBorder="1" applyAlignment="1">
      <alignment horizontal="center" vertical="center"/>
    </xf>
    <xf numFmtId="49" fontId="0" fillId="11" borderId="0" xfId="0" applyNumberFormat="1" applyFont="1" applyFill="1">
      <alignment vertical="top"/>
    </xf>
    <xf numFmtId="0" fontId="19" fillId="8" borderId="0" xfId="0" applyNumberFormat="1" applyFont="1" applyFill="1" applyAlignment="1">
      <alignment horizontal="center" vertical="center" wrapText="1"/>
    </xf>
    <xf numFmtId="0" fontId="19" fillId="8" borderId="0" xfId="0" applyNumberFormat="1" applyFont="1" applyFill="1" applyAlignment="1">
      <alignment horizontal="center"/>
    </xf>
    <xf numFmtId="0" fontId="19" fillId="0" borderId="0" xfId="0" applyNumberFormat="1" applyFont="1" applyAlignment="1">
      <alignment horizontal="center" vertical="center" wrapText="1"/>
    </xf>
    <xf numFmtId="49" fontId="0" fillId="0" borderId="3" xfId="0" applyNumberFormat="1" applyFont="1" applyBorder="1">
      <alignment vertical="top"/>
    </xf>
    <xf numFmtId="49" fontId="0" fillId="0" borderId="3" xfId="0" applyNumberFormat="1" applyFont="1" applyBorder="1">
      <alignment vertical="top"/>
    </xf>
    <xf numFmtId="49" fontId="5" fillId="0" borderId="0" xfId="0" applyNumberFormat="1" applyFont="1">
      <alignment vertical="top"/>
    </xf>
    <xf numFmtId="0" fontId="19" fillId="8" borderId="0" xfId="0" applyNumberFormat="1" applyFont="1" applyFill="1" applyAlignment="1">
      <alignment vertical="top" wrapText="1"/>
    </xf>
    <xf numFmtId="49" fontId="104" fillId="12" borderId="3" xfId="0" applyNumberFormat="1" applyFont="1" applyFill="1" applyBorder="1" applyAlignment="1" applyProtection="1">
      <alignment horizontal="left" vertical="center" wrapText="1"/>
      <protection locked="0"/>
    </xf>
    <xf numFmtId="49" fontId="19" fillId="0" borderId="0" xfId="0" applyNumberFormat="1" applyFont="1" applyAlignment="1">
      <alignment horizontal="center" vertical="center" wrapText="1"/>
    </xf>
    <xf numFmtId="0" fontId="19" fillId="0" borderId="15" xfId="0" applyNumberFormat="1" applyFont="1" applyBorder="1" applyAlignment="1">
      <alignment horizontal="center" vertical="center" wrapText="1"/>
    </xf>
    <xf numFmtId="49" fontId="105" fillId="0" borderId="0" xfId="0" applyNumberFormat="1" applyFont="1" applyAlignment="1">
      <alignment horizontal="center" vertical="top" wrapText="1"/>
    </xf>
    <xf numFmtId="49" fontId="0" fillId="7" borderId="27" xfId="0" applyNumberFormat="1" applyFont="1" applyFill="1" applyBorder="1">
      <alignment vertical="top"/>
    </xf>
    <xf numFmtId="49" fontId="0" fillId="0" borderId="27" xfId="0" applyNumberFormat="1" applyFont="1" applyBorder="1">
      <alignment vertical="top"/>
    </xf>
    <xf numFmtId="49" fontId="0" fillId="12" borderId="27" xfId="0" applyNumberFormat="1" applyFont="1" applyFill="1" applyBorder="1" applyProtection="1">
      <alignment vertical="top"/>
      <protection locked="0"/>
    </xf>
    <xf numFmtId="49" fontId="0" fillId="12" borderId="8" xfId="0" applyNumberFormat="1" applyFont="1" applyFill="1" applyBorder="1" applyProtection="1">
      <alignment vertical="top"/>
      <protection locked="0"/>
    </xf>
    <xf numFmtId="49" fontId="0" fillId="12" borderId="14" xfId="0" applyNumberFormat="1" applyFont="1" applyFill="1" applyBorder="1" applyProtection="1">
      <alignment vertical="top"/>
      <protection locked="0"/>
    </xf>
    <xf numFmtId="49" fontId="105" fillId="0" borderId="27" xfId="0" applyNumberFormat="1" applyFont="1" applyBorder="1" applyAlignment="1">
      <alignment horizontal="center" vertical="top" wrapText="1"/>
    </xf>
    <xf numFmtId="49" fontId="0" fillId="0" borderId="0" xfId="0" applyNumberFormat="1" applyFont="1">
      <alignment vertical="top"/>
    </xf>
    <xf numFmtId="49" fontId="0" fillId="0" borderId="10" xfId="0" applyNumberFormat="1" applyFont="1" applyBorder="1">
      <alignment vertical="top"/>
    </xf>
    <xf numFmtId="49" fontId="0" fillId="0" borderId="13" xfId="0" applyNumberFormat="1" applyFont="1" applyBorder="1">
      <alignment vertical="top"/>
    </xf>
    <xf numFmtId="49" fontId="0" fillId="0" borderId="15" xfId="0" applyNumberFormat="1" applyFont="1" applyBorder="1">
      <alignment vertical="top"/>
    </xf>
    <xf numFmtId="49" fontId="0" fillId="0" borderId="0" xfId="0" applyNumberFormat="1" applyFont="1" applyAlignment="1">
      <alignment horizontal="left" vertical="top"/>
    </xf>
    <xf numFmtId="49" fontId="0" fillId="0" borderId="0" xfId="0" applyNumberFormat="1" applyFont="1" applyAlignment="1">
      <alignment vertical="center"/>
    </xf>
    <xf numFmtId="0" fontId="0" fillId="0" borderId="0" xfId="0" applyNumberFormat="1" applyFont="1" applyAlignment="1">
      <alignment vertical="center"/>
    </xf>
    <xf numFmtId="0" fontId="19" fillId="0" borderId="0" xfId="0" applyNumberFormat="1" applyFont="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0" borderId="0" xfId="0" applyNumberFormat="1" applyFont="1" applyAlignment="1">
      <alignment horizontal="left" vertical="center" indent="1"/>
    </xf>
    <xf numFmtId="0" fontId="0" fillId="0" borderId="0" xfId="0" applyNumberFormat="1" applyFont="1" applyAlignment="1">
      <alignment vertical="center"/>
    </xf>
    <xf numFmtId="0" fontId="0" fillId="10" borderId="6" xfId="0" applyNumberFormat="1" applyFont="1" applyFill="1" applyBorder="1" applyAlignment="1">
      <alignment vertical="center"/>
    </xf>
    <xf numFmtId="49" fontId="0" fillId="0" borderId="27" xfId="0" applyNumberFormat="1" applyFont="1" applyBorder="1" applyAlignment="1">
      <alignment horizontal="left" vertical="top"/>
    </xf>
    <xf numFmtId="49" fontId="0" fillId="13" borderId="27" xfId="0" applyNumberFormat="1" applyFont="1" applyFill="1" applyBorder="1" applyAlignment="1">
      <alignment horizontal="left" vertical="top"/>
    </xf>
    <xf numFmtId="49" fontId="0" fillId="9" borderId="27" xfId="0" applyNumberFormat="1" applyFont="1" applyFill="1" applyBorder="1" applyAlignment="1" applyProtection="1">
      <alignment horizontal="left" vertical="top"/>
      <protection locked="0"/>
    </xf>
    <xf numFmtId="49" fontId="0" fillId="0" borderId="0" xfId="0" applyNumberFormat="1" applyFont="1">
      <alignment vertical="top"/>
    </xf>
    <xf numFmtId="49" fontId="0" fillId="9" borderId="27" xfId="0" applyNumberFormat="1" applyFont="1" applyFill="1" applyBorder="1" applyProtection="1">
      <alignment vertical="top"/>
      <protection locked="0"/>
    </xf>
    <xf numFmtId="49" fontId="0" fillId="0" borderId="10" xfId="0" applyNumberFormat="1" applyFont="1" applyBorder="1" applyAlignment="1">
      <alignment horizontal="left" vertical="center" wrapText="1"/>
    </xf>
    <xf numFmtId="0" fontId="0" fillId="0" borderId="0" xfId="0" applyNumberFormat="1" applyFont="1" applyAlignment="1">
      <alignment vertical="center"/>
    </xf>
    <xf numFmtId="0" fontId="0" fillId="0" borderId="18" xfId="0" applyNumberFormat="1" applyFont="1" applyBorder="1" applyAlignment="1">
      <alignment vertical="center"/>
    </xf>
    <xf numFmtId="49" fontId="19" fillId="0" borderId="27" xfId="0" applyNumberFormat="1" applyFont="1" applyBorder="1" applyAlignment="1">
      <alignment vertical="center" wrapText="1"/>
    </xf>
    <xf numFmtId="49" fontId="19" fillId="0" borderId="27" xfId="0" applyNumberFormat="1" applyFont="1" applyBorder="1" applyAlignment="1">
      <alignment horizontal="center" vertical="center" wrapText="1"/>
    </xf>
    <xf numFmtId="49" fontId="19" fillId="0" borderId="10" xfId="0" applyNumberFormat="1" applyFont="1" applyBorder="1" applyAlignment="1">
      <alignment vertical="center" wrapText="1"/>
    </xf>
    <xf numFmtId="49" fontId="19" fillId="0" borderId="0" xfId="0" applyNumberFormat="1" applyFont="1" applyAlignment="1">
      <alignment vertical="center" wrapText="1"/>
    </xf>
    <xf numFmtId="49" fontId="19" fillId="0" borderId="0" xfId="0" applyNumberFormat="1" applyFont="1" applyAlignment="1">
      <alignment horizontal="center" vertical="center" wrapText="1"/>
    </xf>
    <xf numFmtId="0" fontId="5" fillId="8" borderId="14" xfId="0" applyNumberFormat="1" applyFont="1" applyFill="1" applyBorder="1" applyAlignment="1">
      <alignment horizontal="center" vertical="center" wrapText="1"/>
    </xf>
    <xf numFmtId="0" fontId="5" fillId="0" borderId="27" xfId="0" applyNumberFormat="1" applyFont="1" applyBorder="1" applyAlignment="1">
      <alignment horizontal="left" vertical="top" wrapText="1"/>
    </xf>
    <xf numFmtId="0" fontId="0" fillId="0" borderId="4" xfId="0" applyNumberFormat="1" applyFont="1" applyBorder="1" applyAlignment="1">
      <alignment horizontal="center" vertical="center" wrapText="1"/>
    </xf>
    <xf numFmtId="4" fontId="0" fillId="12" borderId="4" xfId="0" applyNumberFormat="1" applyFont="1" applyFill="1" applyBorder="1" applyAlignment="1" applyProtection="1">
      <alignment horizontal="right" vertical="center" wrapText="1"/>
      <protection locked="0"/>
    </xf>
    <xf numFmtId="0" fontId="0" fillId="0" borderId="4"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xf>
    <xf numFmtId="49" fontId="0" fillId="8" borderId="8" xfId="0" applyNumberFormat="1" applyFont="1" applyFill="1" applyBorder="1" applyAlignment="1">
      <alignment horizontal="center" vertical="center" wrapText="1"/>
    </xf>
    <xf numFmtId="0" fontId="0" fillId="0" borderId="14" xfId="0" applyNumberFormat="1" applyFont="1" applyBorder="1" applyAlignment="1">
      <alignment horizontal="center" vertical="center" wrapText="1"/>
    </xf>
    <xf numFmtId="0" fontId="5" fillId="13" borderId="5"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27" fillId="27" borderId="0" xfId="0" applyNumberFormat="1" applyFont="1" applyFill="1" applyAlignment="1">
      <alignment vertical="center" wrapText="1"/>
    </xf>
    <xf numFmtId="0" fontId="29" fillId="0" borderId="0" xfId="0" applyNumberFormat="1" applyFont="1" applyAlignment="1">
      <alignment vertical="top" wrapText="1"/>
    </xf>
    <xf numFmtId="49" fontId="14" fillId="0" borderId="0" xfId="0" applyNumberFormat="1" applyFont="1" applyAlignment="1">
      <alignment horizontal="center" vertical="top" wrapText="1"/>
    </xf>
    <xf numFmtId="49" fontId="5" fillId="0" borderId="0" xfId="0" applyNumberFormat="1" applyFont="1" applyAlignment="1">
      <alignment horizontal="center" vertical="top" wrapText="1"/>
    </xf>
    <xf numFmtId="49" fontId="5" fillId="8" borderId="0" xfId="0" applyNumberFormat="1" applyFont="1" applyFill="1" applyAlignment="1">
      <alignment horizontal="center" vertical="top" wrapText="1"/>
    </xf>
    <xf numFmtId="0" fontId="0" fillId="0" borderId="27"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29" fillId="0" borderId="3"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49" fontId="5" fillId="7" borderId="3" xfId="0" applyNumberFormat="1" applyFont="1" applyFill="1" applyBorder="1" applyAlignment="1">
      <alignment horizontal="center" vertical="center" wrapText="1"/>
    </xf>
    <xf numFmtId="0" fontId="0" fillId="0" borderId="3" xfId="0" applyNumberFormat="1" applyFont="1" applyBorder="1" applyAlignment="1">
      <alignment horizontal="left" vertical="top" wrapText="1"/>
    </xf>
    <xf numFmtId="14" fontId="5" fillId="13" borderId="3" xfId="0" applyNumberFormat="1" applyFont="1" applyFill="1" applyBorder="1" applyAlignment="1">
      <alignment horizontal="left" vertical="center" wrapText="1" indent="1"/>
    </xf>
    <xf numFmtId="49" fontId="106" fillId="0" borderId="3" xfId="0" applyNumberFormat="1" applyFont="1" applyBorder="1" applyAlignment="1">
      <alignment horizontal="left" vertical="center" wrapText="1" indent="1"/>
    </xf>
    <xf numFmtId="0" fontId="5" fillId="0" borderId="5"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4" xfId="0" applyNumberFormat="1" applyFont="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30" fillId="0" borderId="0" xfId="0" applyNumberFormat="1" applyFont="1" applyAlignment="1">
      <alignment horizontal="center" vertical="center" wrapText="1"/>
    </xf>
    <xf numFmtId="164" fontId="5" fillId="0" borderId="14" xfId="0" applyNumberFormat="1" applyFont="1" applyBorder="1" applyAlignment="1">
      <alignment horizontal="center" vertical="center" wrapText="1"/>
    </xf>
    <xf numFmtId="0" fontId="5" fillId="0" borderId="0" xfId="0" applyNumberFormat="1" applyFont="1" applyAlignment="1">
      <alignment horizontal="right" vertical="center" wrapText="1"/>
    </xf>
    <xf numFmtId="0" fontId="5" fillId="8" borderId="3" xfId="0" applyNumberFormat="1" applyFont="1" applyFill="1" applyBorder="1" applyAlignment="1">
      <alignment vertical="top" wrapText="1"/>
    </xf>
    <xf numFmtId="0" fontId="5" fillId="8" borderId="3" xfId="0" applyNumberFormat="1" applyFont="1" applyFill="1" applyBorder="1" applyAlignment="1">
      <alignment horizontal="left" vertical="top" wrapText="1"/>
    </xf>
    <xf numFmtId="49" fontId="35" fillId="9" borderId="14" xfId="0" applyNumberFormat="1" applyFont="1" applyFill="1" applyBorder="1" applyAlignment="1" applyProtection="1">
      <alignment horizontal="left" vertical="center" wrapText="1"/>
      <protection locked="0"/>
    </xf>
    <xf numFmtId="49" fontId="0" fillId="10" borderId="20"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21" borderId="0" xfId="0" applyNumberFormat="1" applyFont="1" applyFill="1" applyAlignment="1">
      <alignment horizontal="right" vertical="top" wrapText="1"/>
    </xf>
    <xf numFmtId="0" fontId="5" fillId="0" borderId="0" xfId="0" applyNumberFormat="1" applyFont="1" applyAlignment="1">
      <alignment horizontal="left" vertical="top" wrapText="1"/>
    </xf>
    <xf numFmtId="14" fontId="5" fillId="0" borderId="14"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0" fontId="5" fillId="7" borderId="3" xfId="0" applyNumberFormat="1" applyFont="1" applyFill="1" applyBorder="1" applyAlignment="1">
      <alignment horizontal="left" vertical="center" wrapText="1" indent="1"/>
    </xf>
    <xf numFmtId="0" fontId="30" fillId="0" borderId="0" xfId="0" applyNumberFormat="1" applyFont="1" applyAlignment="1">
      <alignment horizontal="center" vertical="center" wrapText="1"/>
    </xf>
    <xf numFmtId="0" fontId="5" fillId="7" borderId="3" xfId="0" applyNumberFormat="1" applyFont="1" applyFill="1" applyBorder="1" applyAlignment="1">
      <alignment horizontal="left" vertical="center" wrapText="1"/>
    </xf>
    <xf numFmtId="164"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30"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protection locked="0"/>
    </xf>
    <xf numFmtId="0" fontId="5" fillId="8" borderId="27" xfId="0" applyNumberFormat="1" applyFont="1" applyFill="1" applyBorder="1" applyAlignment="1">
      <alignment vertical="center" wrapText="1"/>
    </xf>
    <xf numFmtId="164" fontId="27" fillId="0" borderId="10" xfId="0" applyNumberFormat="1" applyFont="1" applyBorder="1" applyAlignment="1">
      <alignment horizontal="center" vertical="center" wrapText="1"/>
    </xf>
    <xf numFmtId="164" fontId="27" fillId="0" borderId="11" xfId="0" applyNumberFormat="1" applyFont="1" applyBorder="1" applyAlignment="1">
      <alignment horizontal="center" vertical="center" wrapText="1"/>
    </xf>
    <xf numFmtId="168" fontId="5" fillId="12" borderId="3" xfId="0" applyNumberFormat="1" applyFont="1" applyFill="1" applyBorder="1" applyAlignment="1" applyProtection="1">
      <alignment horizontal="left" vertical="center" wrapText="1" indent="1"/>
      <protection locked="0"/>
    </xf>
    <xf numFmtId="167" fontId="0" fillId="12" borderId="6" xfId="0" applyNumberFormat="1" applyFont="1" applyFill="1" applyBorder="1" applyAlignment="1" applyProtection="1">
      <alignment horizontal="left" vertical="center" wrapText="1" indent="1"/>
      <protection locked="0"/>
    </xf>
    <xf numFmtId="49" fontId="5" fillId="12" borderId="18" xfId="0" applyNumberFormat="1" applyFont="1" applyFill="1" applyBorder="1" applyAlignment="1" applyProtection="1">
      <alignment horizontal="left" vertical="center" wrapText="1"/>
      <protection locked="0"/>
    </xf>
    <xf numFmtId="49" fontId="5" fillId="12" borderId="21" xfId="0" applyNumberFormat="1" applyFont="1" applyFill="1" applyBorder="1" applyAlignment="1" applyProtection="1">
      <alignment horizontal="left" vertical="center" wrapText="1"/>
      <protection locked="0"/>
    </xf>
    <xf numFmtId="49" fontId="35" fillId="10" borderId="20" xfId="0" applyNumberFormat="1" applyFont="1" applyFill="1" applyBorder="1" applyAlignment="1">
      <alignment horizontal="left" vertical="center" wrapText="1"/>
    </xf>
    <xf numFmtId="0" fontId="5" fillId="12" borderId="3" xfId="0" applyNumberFormat="1" applyFont="1" applyFill="1" applyBorder="1" applyAlignment="1" applyProtection="1">
      <alignment horizontal="left" vertical="top" wrapText="1" indent="1"/>
      <protection locked="0"/>
    </xf>
    <xf numFmtId="0" fontId="5" fillId="0" borderId="6" xfId="0" applyNumberFormat="1" applyFont="1" applyBorder="1" applyAlignment="1">
      <alignment horizontal="center" vertical="center" wrapText="1"/>
    </xf>
    <xf numFmtId="0" fontId="30" fillId="0" borderId="0" xfId="0" applyNumberFormat="1" applyFont="1" applyAlignment="1">
      <alignment horizontal="center" vertical="center" wrapText="1"/>
    </xf>
    <xf numFmtId="0" fontId="5" fillId="8" borderId="13" xfId="0" applyNumberFormat="1" applyFont="1" applyFill="1" applyBorder="1" applyAlignment="1">
      <alignment vertical="center" wrapText="1"/>
    </xf>
    <xf numFmtId="0" fontId="18" fillId="0" borderId="0" xfId="13" applyNumberFormat="1" applyFont="1" applyAlignment="1">
      <alignment horizontal="center" vertical="center" wrapText="1"/>
    </xf>
    <xf numFmtId="0" fontId="18" fillId="0" borderId="3" xfId="13" applyNumberFormat="1" applyFont="1" applyBorder="1" applyAlignment="1">
      <alignment horizontal="center" vertical="center" wrapText="1"/>
    </xf>
    <xf numFmtId="0" fontId="5" fillId="0" borderId="3" xfId="0" applyNumberFormat="1" applyFont="1" applyBorder="1" applyAlignment="1">
      <alignment horizontal="left" vertical="top"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2" fillId="0" borderId="0" xfId="0" applyNumberFormat="1" applyFont="1" applyAlignment="1">
      <alignment horizontal="left" vertical="center"/>
    </xf>
    <xf numFmtId="0" fontId="22" fillId="0" borderId="15" xfId="0" applyNumberFormat="1" applyFont="1" applyBorder="1" applyAlignment="1">
      <alignment horizontal="left" vertical="center"/>
    </xf>
    <xf numFmtId="0" fontId="22" fillId="0" borderId="18" xfId="0" applyNumberFormat="1" applyFont="1" applyBorder="1" applyAlignment="1">
      <alignment horizontal="left" vertical="center"/>
    </xf>
    <xf numFmtId="0" fontId="22" fillId="0" borderId="20" xfId="0" applyNumberFormat="1" applyFont="1" applyBorder="1" applyAlignment="1">
      <alignment horizontal="left" vertical="center"/>
    </xf>
    <xf numFmtId="0" fontId="0"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2" fillId="0" borderId="18" xfId="0" applyNumberFormat="1" applyFont="1" applyBorder="1" applyAlignment="1">
      <alignment horizontal="left" vertical="center"/>
    </xf>
    <xf numFmtId="0" fontId="22" fillId="0" borderId="20" xfId="0" applyNumberFormat="1" applyFont="1" applyBorder="1" applyAlignment="1">
      <alignment horizontal="left" vertical="center"/>
    </xf>
    <xf numFmtId="0" fontId="22" fillId="0" borderId="0" xfId="0" applyNumberFormat="1" applyFont="1" applyAlignment="1">
      <alignment horizontal="left" vertical="center"/>
    </xf>
    <xf numFmtId="0" fontId="22" fillId="0" borderId="15" xfId="0" applyNumberFormat="1" applyFont="1" applyBorder="1" applyAlignment="1">
      <alignment horizontal="left" vertical="center"/>
    </xf>
    <xf numFmtId="0"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7" borderId="6" xfId="0" applyNumberFormat="1" applyFont="1" applyFill="1" applyBorder="1" applyAlignment="1">
      <alignment horizontal="left" vertical="center" wrapText="1"/>
    </xf>
    <xf numFmtId="0" fontId="5" fillId="0" borderId="0" xfId="0" applyNumberFormat="1" applyFont="1" applyAlignment="1">
      <alignment horizontal="left" vertical="top" wrapText="1"/>
    </xf>
    <xf numFmtId="0" fontId="30" fillId="0" borderId="0" xfId="0" applyNumberFormat="1" applyFont="1" applyAlignment="1">
      <alignment horizontal="center" vertical="center" wrapText="1"/>
    </xf>
    <xf numFmtId="167" fontId="0" fillId="12" borderId="3" xfId="0" applyNumberFormat="1" applyFont="1" applyFill="1" applyBorder="1" applyAlignment="1" applyProtection="1">
      <alignment horizontal="center" vertical="center" wrapText="1"/>
      <protection locked="0"/>
    </xf>
    <xf numFmtId="0" fontId="62" fillId="8" borderId="10" xfId="0" applyNumberFormat="1" applyFont="1" applyFill="1" applyBorder="1" applyAlignment="1">
      <alignment horizontal="center" vertical="center" wrapText="1"/>
    </xf>
    <xf numFmtId="0" fontId="19"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5" fillId="8" borderId="14" xfId="0" applyNumberFormat="1" applyFont="1" applyFill="1" applyBorder="1" applyAlignment="1">
      <alignment horizontal="center" vertical="center" wrapText="1"/>
    </xf>
    <xf numFmtId="0" fontId="30" fillId="0" borderId="6" xfId="0" applyNumberFormat="1" applyFont="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0" borderId="0" xfId="0" applyNumberFormat="1" applyFont="1" applyAlignment="1">
      <alignment vertical="center" wrapText="1"/>
    </xf>
    <xf numFmtId="49" fontId="3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20"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NumberFormat="1" applyFont="1" applyAlignment="1">
      <alignment horizontal="left" vertical="center"/>
    </xf>
    <xf numFmtId="0" fontId="5" fillId="0" borderId="0" xfId="0" applyNumberFormat="1" applyFont="1" applyAlignment="1">
      <alignment horizontal="left" vertical="center" indent="1"/>
    </xf>
    <xf numFmtId="49" fontId="5" fillId="0" borderId="0" xfId="0" applyNumberFormat="1" applyFont="1" applyAlignment="1">
      <alignment horizontal="left" vertical="center"/>
    </xf>
    <xf numFmtId="0" fontId="0" fillId="0" borderId="3" xfId="0" applyNumberFormat="1" applyFont="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49" fontId="5" fillId="8" borderId="0" xfId="0" applyNumberFormat="1" applyFont="1" applyFill="1" applyAlignment="1">
      <alignment vertical="center" wrapText="1"/>
    </xf>
    <xf numFmtId="0" fontId="62" fillId="8" borderId="10"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49" fontId="5" fillId="0" borderId="0" xfId="0" applyNumberFormat="1" applyFont="1" applyAlignment="1">
      <alignment vertical="center" wrapText="1"/>
    </xf>
    <xf numFmtId="49" fontId="5" fillId="9" borderId="3" xfId="0" applyNumberFormat="1" applyFont="1" applyFill="1" applyBorder="1" applyAlignment="1" applyProtection="1">
      <alignment horizontal="left" vertical="center" indent="1"/>
      <protection locked="0"/>
    </xf>
    <xf numFmtId="49" fontId="5" fillId="8" borderId="3" xfId="11" applyNumberFormat="1" applyFont="1" applyFill="1" applyBorder="1" applyAlignment="1">
      <alignment horizontal="center" vertical="center" wrapText="1"/>
    </xf>
    <xf numFmtId="14" fontId="5" fillId="12" borderId="5" xfId="0" applyNumberFormat="1" applyFont="1" applyFill="1" applyBorder="1" applyAlignment="1" applyProtection="1">
      <alignment horizontal="left" vertical="center" wrapText="1" indent="1"/>
      <protection locked="0"/>
    </xf>
    <xf numFmtId="0" fontId="29" fillId="0" borderId="27" xfId="0" applyNumberFormat="1" applyFont="1" applyBorder="1" applyAlignment="1">
      <alignment horizontal="left" vertical="center" wrapText="1" indent="1"/>
    </xf>
    <xf numFmtId="49" fontId="87" fillId="10" borderId="33" xfId="0" applyNumberFormat="1" applyFont="1" applyFill="1" applyBorder="1" applyAlignment="1">
      <alignment horizontal="left" vertical="center" indent="1"/>
    </xf>
    <xf numFmtId="14" fontId="5" fillId="13" borderId="13" xfId="0" applyNumberFormat="1" applyFont="1" applyFill="1" applyBorder="1" applyAlignment="1">
      <alignment horizontal="left" vertical="center" wrapText="1" indent="1"/>
    </xf>
    <xf numFmtId="0" fontId="5" fillId="0" borderId="13" xfId="0" applyNumberFormat="1" applyFont="1" applyBorder="1" applyAlignment="1">
      <alignment vertical="center" wrapText="1"/>
    </xf>
    <xf numFmtId="0" fontId="0"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67" fontId="0" fillId="12" borderId="3" xfId="0" applyNumberFormat="1" applyFont="1" applyFill="1" applyBorder="1" applyAlignment="1" applyProtection="1">
      <alignment horizontal="center" vertical="center" wrapText="1"/>
      <protection locked="0"/>
    </xf>
    <xf numFmtId="0" fontId="5" fillId="8" borderId="8"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30" fillId="0" borderId="15" xfId="0" applyNumberFormat="1" applyFont="1" applyBorder="1" applyAlignment="1">
      <alignment horizontal="center" vertical="top" wrapText="1"/>
    </xf>
    <xf numFmtId="49" fontId="5" fillId="9" borderId="8"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2" fillId="0" borderId="18" xfId="0" applyNumberFormat="1" applyFont="1" applyBorder="1" applyAlignment="1">
      <alignment horizontal="left" vertical="center"/>
    </xf>
    <xf numFmtId="0" fontId="22" fillId="0" borderId="20" xfId="0" applyNumberFormat="1" applyFont="1" applyBorder="1" applyAlignment="1">
      <alignment horizontal="left" vertical="center"/>
    </xf>
    <xf numFmtId="0" fontId="22" fillId="0" borderId="0" xfId="0" applyNumberFormat="1" applyFont="1" applyAlignment="1">
      <alignment horizontal="left" vertical="center"/>
    </xf>
    <xf numFmtId="0" fontId="22" fillId="0" borderId="15" xfId="0" applyNumberFormat="1" applyFont="1" applyBorder="1" applyAlignment="1">
      <alignment horizontal="left" vertical="center"/>
    </xf>
    <xf numFmtId="49" fontId="14" fillId="20" borderId="0" xfId="0" applyNumberFormat="1" applyFont="1" applyFill="1" applyAlignment="1">
      <alignment horizontal="center" vertical="center" wrapText="1"/>
    </xf>
    <xf numFmtId="0" fontId="30" fillId="0" borderId="0" xfId="0" applyNumberFormat="1" applyFont="1" applyAlignment="1">
      <alignment horizontal="center" vertical="center" wrapText="1"/>
    </xf>
    <xf numFmtId="0" fontId="5" fillId="8" borderId="3" xfId="0" applyNumberFormat="1" applyFont="1" applyFill="1" applyBorder="1" applyAlignment="1">
      <alignment horizontal="left" vertical="center" wrapText="1"/>
    </xf>
    <xf numFmtId="0" fontId="5" fillId="8" borderId="8"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7" fillId="0" borderId="4" xfId="0" applyNumberFormat="1" applyFont="1" applyBorder="1" applyAlignment="1">
      <alignment vertical="top" wrapText="1"/>
    </xf>
    <xf numFmtId="0" fontId="30" fillId="0" borderId="4" xfId="0" applyNumberFormat="1" applyFont="1" applyBorder="1" applyAlignment="1">
      <alignment vertical="top" wrapText="1"/>
    </xf>
    <xf numFmtId="0" fontId="5" fillId="8" borderId="8" xfId="0" applyNumberFormat="1" applyFont="1" applyFill="1" applyBorder="1" applyAlignment="1">
      <alignment horizontal="left" vertical="center" wrapText="1" indent="2"/>
    </xf>
    <xf numFmtId="0" fontId="5" fillId="0" borderId="8" xfId="0" applyNumberFormat="1" applyFont="1" applyBorder="1" applyAlignment="1">
      <alignment horizontal="left" vertical="center" wrapText="1" indent="6"/>
    </xf>
    <xf numFmtId="0" fontId="5" fillId="13" borderId="14" xfId="0" applyNumberFormat="1" applyFont="1" applyFill="1" applyBorder="1" applyAlignment="1">
      <alignment horizontal="left" vertical="center" wrapText="1" indent="6"/>
    </xf>
    <xf numFmtId="0" fontId="5" fillId="0" borderId="14" xfId="0" applyNumberFormat="1" applyFont="1" applyBorder="1" applyAlignment="1">
      <alignment horizontal="left" vertical="center" wrapText="1" indent="6"/>
    </xf>
    <xf numFmtId="4" fontId="5" fillId="9" borderId="14" xfId="0" applyNumberFormat="1" applyFont="1" applyFill="1" applyBorder="1" applyAlignment="1" applyProtection="1">
      <alignment horizontal="right" vertical="center" wrapText="1"/>
      <protection locked="0"/>
    </xf>
    <xf numFmtId="165" fontId="5" fillId="9" borderId="14" xfId="0" applyNumberFormat="1" applyFont="1" applyFill="1" applyBorder="1" applyAlignment="1" applyProtection="1">
      <alignment horizontal="right" vertical="center" wrapText="1"/>
      <protection locked="0"/>
    </xf>
    <xf numFmtId="0" fontId="5" fillId="0" borderId="6"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center" vertical="center" wrapText="1"/>
    </xf>
    <xf numFmtId="49"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0" xfId="0" applyNumberFormat="1" applyFont="1" applyAlignment="1">
      <alignment horizontal="left" vertical="top" wrapText="1"/>
    </xf>
    <xf numFmtId="0" fontId="5" fillId="7" borderId="5" xfId="0" applyNumberFormat="1" applyFont="1" applyFill="1" applyBorder="1" applyAlignment="1">
      <alignment horizontal="left" vertical="top"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49" fontId="76" fillId="0" borderId="34" xfId="0" applyNumberFormat="1" applyFont="1" applyBorder="1" applyAlignment="1">
      <alignment horizontal="center" vertical="center"/>
    </xf>
    <xf numFmtId="49" fontId="76" fillId="0" borderId="34" xfId="0" applyNumberFormat="1" applyFont="1" applyBorder="1" applyAlignment="1">
      <alignment horizontal="left" vertical="center" indent="1"/>
    </xf>
    <xf numFmtId="49" fontId="76" fillId="0" borderId="5" xfId="0" applyNumberFormat="1" applyFont="1" applyBorder="1" applyAlignment="1">
      <alignment horizontal="left" vertical="center" indent="1"/>
    </xf>
    <xf numFmtId="49" fontId="76" fillId="0" borderId="6" xfId="0" applyNumberFormat="1" applyFont="1" applyBorder="1" applyAlignment="1">
      <alignment horizontal="left" vertical="center" indent="1"/>
    </xf>
    <xf numFmtId="49" fontId="76" fillId="0" borderId="6" xfId="0" applyNumberFormat="1" applyFont="1" applyBorder="1" applyAlignment="1">
      <alignment vertical="top" wrapText="1"/>
    </xf>
    <xf numFmtId="49" fontId="76" fillId="0" borderId="4" xfId="0" applyNumberFormat="1" applyFont="1" applyBorder="1" applyAlignment="1">
      <alignment vertical="top" wrapText="1"/>
    </xf>
    <xf numFmtId="49" fontId="107" fillId="0" borderId="0" xfId="0" applyNumberFormat="1" applyFont="1" applyAlignment="1">
      <alignment horizontal="center" vertical="top" wrapText="1"/>
    </xf>
    <xf numFmtId="0" fontId="76" fillId="0" borderId="3" xfId="0" applyNumberFormat="1" applyFont="1" applyBorder="1" applyAlignment="1">
      <alignment horizontal="center" vertical="center"/>
    </xf>
    <xf numFmtId="0" fontId="76" fillId="0" borderId="3" xfId="0" applyNumberFormat="1" applyFont="1" applyBorder="1" applyAlignment="1">
      <alignment horizontal="left" vertical="center" wrapText="1" indent="1"/>
    </xf>
    <xf numFmtId="4" fontId="29" fillId="0" borderId="22" xfId="0" applyNumberFormat="1" applyFont="1" applyBorder="1" applyAlignment="1">
      <alignment horizontal="right" vertical="center" wrapText="1"/>
    </xf>
    <xf numFmtId="49" fontId="29" fillId="0" borderId="6" xfId="0" applyNumberFormat="1" applyFont="1" applyBorder="1" applyAlignment="1">
      <alignment horizontal="left" vertical="center" indent="1"/>
    </xf>
    <xf numFmtId="49" fontId="76" fillId="0" borderId="43" xfId="0" applyNumberFormat="1" applyFont="1" applyBorder="1" applyAlignment="1">
      <alignment vertical="top" wrapText="1"/>
    </xf>
    <xf numFmtId="49" fontId="76" fillId="0" borderId="43" xfId="0" applyNumberFormat="1" applyFont="1" applyBorder="1" applyAlignment="1">
      <alignment horizontal="left" vertical="center" indent="1"/>
    </xf>
    <xf numFmtId="49" fontId="0" fillId="13" borderId="27" xfId="0" applyNumberFormat="1" applyFont="1" applyFill="1" applyBorder="1" applyAlignment="1">
      <alignment horizontal="left" vertical="center" wrapText="1"/>
    </xf>
    <xf numFmtId="49" fontId="5" fillId="0" borderId="3" xfId="0" applyNumberFormat="1" applyFont="1" applyBorder="1" applyAlignment="1">
      <alignment horizontal="center" vertical="center" wrapText="1"/>
    </xf>
    <xf numFmtId="49" fontId="108" fillId="0" borderId="3" xfId="0" applyNumberFormat="1" applyFont="1" applyBorder="1" applyAlignment="1">
      <alignment horizontal="center" vertical="center" wrapText="1"/>
    </xf>
    <xf numFmtId="49" fontId="108" fillId="0" borderId="8" xfId="0" applyNumberFormat="1" applyFont="1" applyBorder="1" applyAlignment="1">
      <alignment horizontal="center" vertical="center" wrapText="1"/>
    </xf>
    <xf numFmtId="0" fontId="5" fillId="27" borderId="3" xfId="12" applyNumberFormat="1" applyFont="1" applyFill="1" applyBorder="1" applyAlignment="1">
      <alignment vertical="center"/>
    </xf>
    <xf numFmtId="0" fontId="29" fillId="28" borderId="3" xfId="0" applyNumberFormat="1" applyFont="1" applyFill="1" applyBorder="1" applyAlignment="1">
      <alignment horizontal="left" vertical="center" wrapText="1"/>
    </xf>
    <xf numFmtId="0" fontId="73" fillId="0" borderId="0" xfId="0" applyNumberFormat="1" applyFont="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18"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0" fillId="0" borderId="5"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0" borderId="10" xfId="0" applyNumberFormat="1" applyFont="1" applyBorder="1" applyAlignment="1">
      <alignment horizontal="right" vertical="center" wrapText="1" indent="1"/>
    </xf>
    <xf numFmtId="4" fontId="5" fillId="12" borderId="28" xfId="0" applyNumberFormat="1" applyFont="1" applyFill="1" applyBorder="1" applyAlignment="1" applyProtection="1">
      <alignment horizontal="right" vertical="center" wrapText="1"/>
      <protection locked="0"/>
    </xf>
    <xf numFmtId="3" fontId="5" fillId="12" borderId="5" xfId="0" applyNumberFormat="1" applyFont="1" applyFill="1" applyBorder="1" applyAlignment="1" applyProtection="1">
      <alignment horizontal="right" vertical="center" wrapText="1"/>
      <protection locked="0"/>
    </xf>
    <xf numFmtId="0" fontId="29" fillId="10" borderId="6"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5" xfId="0" applyNumberFormat="1" applyFont="1" applyBorder="1" applyAlignment="1">
      <alignment horizontal="left" vertical="center" wrapText="1"/>
    </xf>
    <xf numFmtId="0" fontId="5" fillId="0" borderId="14" xfId="0" applyNumberFormat="1" applyFont="1" applyBorder="1" applyAlignment="1">
      <alignment horizontal="center" vertical="center" wrapText="1"/>
    </xf>
    <xf numFmtId="0" fontId="5" fillId="0" borderId="5"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2"/>
    </xf>
    <xf numFmtId="49" fontId="0" fillId="0" borderId="16" xfId="0" applyNumberFormat="1" applyFont="1" applyBorder="1" applyAlignment="1">
      <alignment horizontal="center" vertical="center"/>
    </xf>
    <xf numFmtId="49" fontId="0" fillId="0" borderId="3" xfId="13" applyNumberFormat="1" applyFont="1" applyBorder="1">
      <alignment vertical="top"/>
    </xf>
    <xf numFmtId="49" fontId="0" fillId="0" borderId="5" xfId="13" applyNumberFormat="1" applyFont="1" applyBorder="1">
      <alignment vertical="top"/>
    </xf>
    <xf numFmtId="49" fontId="0" fillId="16" borderId="8" xfId="13" applyNumberFormat="1" applyFont="1" applyFill="1" applyBorder="1">
      <alignment vertical="top"/>
    </xf>
    <xf numFmtId="49" fontId="0" fillId="17" borderId="3" xfId="13" applyNumberFormat="1" applyFont="1" applyFill="1" applyBorder="1">
      <alignment vertical="top"/>
    </xf>
    <xf numFmtId="49" fontId="0" fillId="0" borderId="6" xfId="13" applyNumberFormat="1" applyFont="1" applyBorder="1" applyAlignment="1">
      <alignment horizontal="center" vertical="top"/>
    </xf>
    <xf numFmtId="49" fontId="0" fillId="2" borderId="3" xfId="13" applyNumberFormat="1" applyFont="1" applyFill="1" applyBorder="1">
      <alignment vertical="top"/>
    </xf>
    <xf numFmtId="49" fontId="0" fillId="18" borderId="3" xfId="13" applyNumberFormat="1" applyFont="1" applyFill="1" applyBorder="1">
      <alignment vertical="top"/>
    </xf>
    <xf numFmtId="49" fontId="0" fillId="5" borderId="8" xfId="13" applyNumberFormat="1" applyFont="1" applyFill="1" applyBorder="1">
      <alignment vertical="top"/>
    </xf>
    <xf numFmtId="49" fontId="0" fillId="3" borderId="5" xfId="13" applyNumberFormat="1" applyFont="1" applyFill="1" applyBorder="1">
      <alignment vertical="top"/>
    </xf>
    <xf numFmtId="49" fontId="0" fillId="3" borderId="3" xfId="13" applyNumberFormat="1" applyFont="1" applyFill="1" applyBorder="1">
      <alignment vertical="top"/>
    </xf>
    <xf numFmtId="49" fontId="0" fillId="5" borderId="3" xfId="13" applyNumberFormat="1" applyFont="1" applyFill="1" applyBorder="1">
      <alignment vertical="top"/>
    </xf>
    <xf numFmtId="0" fontId="11" fillId="0" borderId="0" xfId="0" applyNumberFormat="1" applyFont="1" applyAlignment="1"/>
    <xf numFmtId="0" fontId="45" fillId="0" borderId="0" xfId="0" applyNumberFormat="1" applyFont="1" applyAlignment="1">
      <alignment vertical="center" wrapText="1"/>
    </xf>
    <xf numFmtId="0" fontId="14" fillId="0" borderId="0" xfId="0" applyNumberFormat="1" applyFont="1" applyAlignment="1">
      <alignment vertical="center" wrapText="1"/>
    </xf>
    <xf numFmtId="0" fontId="42" fillId="0" borderId="0" xfId="0" applyNumberFormat="1" applyFont="1" applyAlignment="1">
      <alignment vertical="center" wrapText="1"/>
    </xf>
    <xf numFmtId="0" fontId="5" fillId="0" borderId="0" xfId="0" applyNumberFormat="1" applyFont="1" applyAlignment="1">
      <alignment vertical="center" wrapText="1"/>
    </xf>
    <xf numFmtId="167" fontId="0" fillId="12" borderId="3" xfId="0" applyNumberFormat="1" applyFont="1" applyFill="1" applyBorder="1" applyAlignment="1" applyProtection="1">
      <alignment horizontal="left" vertical="center" wrapText="1" indent="1"/>
      <protection locked="0"/>
    </xf>
    <xf numFmtId="49" fontId="29" fillId="0" borderId="0" xfId="0" applyNumberFormat="1" applyFont="1" applyAlignment="1">
      <alignment vertical="center" wrapText="1"/>
    </xf>
    <xf numFmtId="49" fontId="5" fillId="12" borderId="3" xfId="0" applyNumberFormat="1" applyFont="1" applyFill="1" applyBorder="1" applyAlignment="1" applyProtection="1">
      <alignment horizontal="left" vertical="center" wrapText="1" indent="1"/>
      <protection locked="0"/>
    </xf>
    <xf numFmtId="167" fontId="0" fillId="12" borderId="3"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0" fontId="5" fillId="12" borderId="3" xfId="0" applyNumberFormat="1" applyFont="1" applyFill="1" applyBorder="1" applyAlignment="1" applyProtection="1">
      <alignment horizontal="left" vertical="center" wrapText="1" indent="1"/>
      <protection locked="0"/>
    </xf>
    <xf numFmtId="0" fontId="15" fillId="0" borderId="0" xfId="0" applyNumberFormat="1" applyFont="1" applyAlignment="1">
      <alignment vertical="center" wrapText="1"/>
    </xf>
    <xf numFmtId="0" fontId="14"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0" fontId="14" fillId="0" borderId="0" xfId="0" applyNumberFormat="1" applyFont="1" applyAlignment="1">
      <alignment horizontal="left" vertical="center" wrapText="1"/>
    </xf>
    <xf numFmtId="0" fontId="5" fillId="0" borderId="0" xfId="0" applyNumberFormat="1" applyFont="1" applyAlignment="1">
      <alignment horizontal="center" vertical="center" wrapText="1"/>
    </xf>
    <xf numFmtId="0" fontId="29" fillId="0" borderId="0" xfId="0" applyNumberFormat="1" applyFont="1" applyAlignment="1">
      <alignment vertical="center" wrapText="1"/>
    </xf>
    <xf numFmtId="0" fontId="30" fillId="0" borderId="0" xfId="0" applyNumberFormat="1" applyFont="1" applyAlignment="1">
      <alignment vertical="center" wrapText="1"/>
    </xf>
    <xf numFmtId="0" fontId="38" fillId="0" borderId="0" xfId="0" applyNumberFormat="1" applyFont="1" applyAlignment="1">
      <alignment vertical="center" wrapText="1"/>
    </xf>
    <xf numFmtId="0" fontId="24" fillId="0" borderId="0" xfId="0" applyNumberFormat="1" applyFont="1" applyAlignment="1">
      <alignment vertical="center" wrapText="1"/>
    </xf>
    <xf numFmtId="0" fontId="37" fillId="0" borderId="0" xfId="0" applyNumberFormat="1" applyFont="1" applyAlignment="1">
      <alignment vertical="center"/>
    </xf>
    <xf numFmtId="49" fontId="0" fillId="0" borderId="0" xfId="0" applyNumberFormat="1" applyFont="1">
      <alignment vertical="top"/>
    </xf>
    <xf numFmtId="0" fontId="30" fillId="0" borderId="0" xfId="0" applyNumberFormat="1" applyFont="1" applyAlignment="1">
      <alignment vertical="center"/>
    </xf>
    <xf numFmtId="0" fontId="24" fillId="0" borderId="0" xfId="0" applyNumberFormat="1" applyFont="1" applyAlignment="1">
      <alignment vertical="center" wrapText="1"/>
    </xf>
    <xf numFmtId="0" fontId="27" fillId="0" borderId="0" xfId="0" applyNumberFormat="1" applyFont="1" applyAlignment="1">
      <alignment vertical="center" wrapText="1"/>
    </xf>
    <xf numFmtId="49" fontId="0" fillId="0" borderId="0" xfId="0" applyNumberFormat="1" applyFont="1">
      <alignment vertical="top"/>
    </xf>
    <xf numFmtId="0" fontId="19" fillId="0" borderId="0" xfId="0" applyNumberFormat="1" applyFont="1" applyAlignment="1">
      <alignment horizontal="center" vertical="center" wrapText="1"/>
    </xf>
    <xf numFmtId="0" fontId="23" fillId="0" borderId="0" xfId="0" applyNumberFormat="1" applyFont="1" applyAlignment="1">
      <alignment vertical="center"/>
    </xf>
    <xf numFmtId="0" fontId="0" fillId="0" borderId="0" xfId="0" applyNumberFormat="1" applyFont="1" applyAlignment="1">
      <alignment vertical="center"/>
    </xf>
    <xf numFmtId="0" fontId="5" fillId="0" borderId="0" xfId="0" applyNumberFormat="1" applyFont="1" applyAlignment="1">
      <alignment vertical="center"/>
    </xf>
    <xf numFmtId="0" fontId="29" fillId="0" borderId="0" xfId="0" applyNumberFormat="1" applyFont="1" applyAlignment="1">
      <alignment vertical="center"/>
    </xf>
    <xf numFmtId="0" fontId="49" fillId="0" borderId="0" xfId="0" applyNumberFormat="1" applyFont="1" applyAlignment="1">
      <alignment vertical="center"/>
    </xf>
    <xf numFmtId="49" fontId="5" fillId="0" borderId="0" xfId="0" applyNumberFormat="1" applyFont="1" applyAlignment="1">
      <alignment horizontal="center" vertical="center" wrapText="1"/>
    </xf>
    <xf numFmtId="49" fontId="5" fillId="9" borderId="3" xfId="0" applyNumberFormat="1" applyFont="1" applyFill="1" applyBorder="1" applyAlignment="1" applyProtection="1">
      <alignment horizontal="left" vertical="center" wrapText="1"/>
      <protection locked="0"/>
    </xf>
    <xf numFmtId="49" fontId="5" fillId="0" borderId="3" xfId="0" applyNumberFormat="1" applyFont="1" applyBorder="1" applyAlignment="1">
      <alignment horizontal="center" vertical="center" wrapText="1"/>
    </xf>
    <xf numFmtId="49" fontId="0" fillId="8" borderId="3" xfId="0" applyNumberFormat="1" applyFont="1" applyFill="1" applyBorder="1" applyAlignment="1">
      <alignment horizontal="left" vertical="center" wrapText="1"/>
    </xf>
    <xf numFmtId="0" fontId="22" fillId="10" borderId="5"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4" xfId="0" applyNumberFormat="1" applyFont="1" applyFill="1" applyBorder="1" applyAlignment="1">
      <alignment horizontal="left" vertical="center"/>
    </xf>
    <xf numFmtId="0" fontId="22" fillId="10" borderId="5"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2" fillId="10" borderId="4" xfId="0" applyNumberFormat="1" applyFont="1" applyFill="1" applyBorder="1" applyAlignment="1">
      <alignment horizontal="left" vertical="center"/>
    </xf>
    <xf numFmtId="49" fontId="0" fillId="0" borderId="0" xfId="0" applyNumberFormat="1" applyFont="1" applyAlignment="1">
      <alignment vertical="center"/>
    </xf>
    <xf numFmtId="0" fontId="0" fillId="0" borderId="0" xfId="0" applyNumberFormat="1" applyFont="1" applyAlignment="1">
      <alignment vertical="center"/>
    </xf>
    <xf numFmtId="49" fontId="0" fillId="8" borderId="3" xfId="0" applyNumberFormat="1" applyFont="1" applyFill="1" applyBorder="1" applyAlignment="1">
      <alignment horizontal="left" vertical="center" wrapText="1"/>
    </xf>
    <xf numFmtId="0" fontId="5" fillId="0" borderId="0" xfId="0" applyNumberFormat="1" applyFont="1" applyAlignment="1">
      <alignment horizontal="left" vertical="center" indent="1"/>
    </xf>
    <xf numFmtId="0" fontId="22" fillId="10" borderId="5"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2" fillId="10" borderId="4" xfId="0" applyNumberFormat="1" applyFont="1" applyFill="1" applyBorder="1" applyAlignment="1">
      <alignment horizontal="left" vertical="center"/>
    </xf>
    <xf numFmtId="0" fontId="22" fillId="10" borderId="5"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2" fillId="10" borderId="4" xfId="0" applyNumberFormat="1" applyFont="1" applyFill="1" applyBorder="1" applyAlignment="1">
      <alignment horizontal="left" vertical="center"/>
    </xf>
    <xf numFmtId="0" fontId="22" fillId="10" borderId="5"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4" xfId="0" applyNumberFormat="1" applyFont="1" applyFill="1" applyBorder="1" applyAlignment="1">
      <alignment horizontal="left" vertical="center"/>
    </xf>
    <xf numFmtId="0" fontId="22" fillId="10" borderId="5"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2" fillId="10" borderId="4" xfId="0" applyNumberFormat="1" applyFont="1" applyFill="1" applyBorder="1" applyAlignment="1">
      <alignment horizontal="left" vertical="center"/>
    </xf>
    <xf numFmtId="0" fontId="22" fillId="10" borderId="5"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2" fillId="10" borderId="4" xfId="0" applyNumberFormat="1" applyFont="1" applyFill="1" applyBorder="1" applyAlignment="1">
      <alignment horizontal="left" vertical="center"/>
    </xf>
    <xf numFmtId="0" fontId="22" fillId="10" borderId="5"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2" fillId="10" borderId="4" xfId="0" applyNumberFormat="1" applyFont="1" applyFill="1" applyBorder="1" applyAlignment="1">
      <alignment horizontal="left" vertical="center"/>
    </xf>
    <xf numFmtId="0" fontId="22" fillId="10" borderId="5"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4" xfId="0" applyNumberFormat="1" applyFont="1" applyFill="1" applyBorder="1" applyAlignment="1">
      <alignment horizontal="left" vertical="center"/>
    </xf>
    <xf numFmtId="0" fontId="22" fillId="10" borderId="5"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2" fillId="10" borderId="4" xfId="0" applyNumberFormat="1" applyFont="1" applyFill="1" applyBorder="1" applyAlignment="1">
      <alignment horizontal="left" vertical="center"/>
    </xf>
    <xf numFmtId="0" fontId="22" fillId="10" borderId="5"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2" fillId="10" borderId="4" xfId="0" applyNumberFormat="1" applyFont="1" applyFill="1" applyBorder="1" applyAlignment="1">
      <alignment horizontal="left" vertical="center"/>
    </xf>
    <xf numFmtId="0" fontId="22" fillId="10" borderId="5"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2" fillId="10" borderId="4" xfId="0" applyNumberFormat="1" applyFont="1" applyFill="1" applyBorder="1" applyAlignment="1">
      <alignment horizontal="left" vertical="center"/>
    </xf>
    <xf numFmtId="0" fontId="22" fillId="10" borderId="5"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4" xfId="0" applyNumberFormat="1" applyFont="1" applyFill="1" applyBorder="1" applyAlignment="1">
      <alignment horizontal="left" vertical="center"/>
    </xf>
    <xf numFmtId="0" fontId="22" fillId="10" borderId="5"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2" fillId="10" borderId="4" xfId="0" applyNumberFormat="1" applyFont="1" applyFill="1" applyBorder="1" applyAlignment="1">
      <alignment horizontal="left" vertical="center"/>
    </xf>
    <xf numFmtId="0" fontId="22" fillId="10" borderId="5"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2" fillId="10" borderId="4" xfId="0" applyNumberFormat="1" applyFont="1" applyFill="1" applyBorder="1" applyAlignment="1">
      <alignment horizontal="left" vertical="center"/>
    </xf>
    <xf numFmtId="0" fontId="22" fillId="10" borderId="5"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22"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0" fillId="10" borderId="6" xfId="0" applyNumberFormat="1" applyFont="1" applyFill="1" applyBorder="1" applyAlignment="1">
      <alignment vertical="center"/>
    </xf>
    <xf numFmtId="0" fontId="22" fillId="10" borderId="4" xfId="0" applyNumberFormat="1" applyFont="1" applyFill="1" applyBorder="1" applyAlignment="1">
      <alignment horizontal="left" vertical="center"/>
    </xf>
    <xf numFmtId="49" fontId="30" fillId="0" borderId="0" xfId="0" applyNumberFormat="1" applyFont="1">
      <alignment vertical="top"/>
    </xf>
    <xf numFmtId="49" fontId="30" fillId="0" borderId="0" xfId="0" applyNumberFormat="1" applyFont="1" applyAlignment="1">
      <alignment horizontal="center" vertical="center"/>
    </xf>
    <xf numFmtId="49" fontId="49" fillId="0" borderId="0" xfId="0" applyNumberFormat="1" applyFont="1">
      <alignment vertical="top"/>
    </xf>
    <xf numFmtId="49" fontId="14" fillId="0" borderId="0" xfId="0" applyNumberFormat="1" applyFont="1">
      <alignment vertical="top"/>
    </xf>
    <xf numFmtId="0" fontId="5" fillId="8" borderId="0" xfId="0" applyNumberFormat="1" applyFont="1" applyFill="1" applyAlignment="1"/>
    <xf numFmtId="0" fontId="0" fillId="8" borderId="0" xfId="0" applyNumberFormat="1" applyFont="1" applyFill="1" applyAlignment="1"/>
    <xf numFmtId="0" fontId="43" fillId="8" borderId="0" xfId="0" applyNumberFormat="1" applyFont="1" applyFill="1" applyAlignment="1"/>
    <xf numFmtId="0" fontId="30" fillId="8" borderId="0" xfId="0" applyNumberFormat="1" applyFont="1" applyFill="1" applyAlignment="1"/>
    <xf numFmtId="0" fontId="58" fillId="8" borderId="0" xfId="0" applyNumberFormat="1" applyFont="1" applyFill="1" applyAlignment="1"/>
    <xf numFmtId="0" fontId="5" fillId="0" borderId="0" xfId="0" applyNumberFormat="1" applyFont="1" applyAlignment="1">
      <alignment vertical="top" wrapText="1"/>
    </xf>
    <xf numFmtId="0" fontId="0" fillId="8" borderId="0" xfId="0" applyNumberFormat="1" applyFont="1" applyFill="1" applyAlignment="1">
      <alignment horizontal="center"/>
    </xf>
    <xf numFmtId="0" fontId="70" fillId="0" borderId="0" xfId="0" applyNumberFormat="1" applyFont="1" applyAlignment="1">
      <alignment vertical="center" wrapText="1"/>
    </xf>
    <xf numFmtId="0" fontId="54" fillId="0" borderId="0" xfId="0" applyNumberFormat="1" applyFont="1" applyAlignment="1">
      <alignment vertical="center" wrapText="1"/>
    </xf>
    <xf numFmtId="0" fontId="29" fillId="0" borderId="0" xfId="0" applyNumberFormat="1" applyFont="1" applyAlignment="1">
      <alignment horizontal="left" vertical="center" wrapText="1"/>
    </xf>
    <xf numFmtId="0" fontId="51" fillId="0" borderId="0" xfId="0" applyNumberFormat="1" applyFont="1" applyAlignment="1">
      <alignment vertical="center" wrapText="1"/>
    </xf>
    <xf numFmtId="0" fontId="21" fillId="0" borderId="0" xfId="0" applyNumberFormat="1" applyFont="1" applyAlignment="1">
      <alignment vertical="center" wrapText="1"/>
    </xf>
    <xf numFmtId="0" fontId="29" fillId="0" borderId="0" xfId="0" applyNumberFormat="1" applyFont="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left" vertical="center" wrapText="1"/>
    </xf>
    <xf numFmtId="0" fontId="5" fillId="0" borderId="0" xfId="0" applyNumberFormat="1" applyFont="1" applyAlignment="1">
      <alignment vertical="center" wrapText="1"/>
    </xf>
    <xf numFmtId="4" fontId="5" fillId="9" borderId="3" xfId="0" applyNumberFormat="1" applyFont="1" applyFill="1" applyBorder="1" applyAlignment="1" applyProtection="1">
      <alignment horizontal="right" vertical="center" wrapText="1"/>
      <protection locked="0"/>
    </xf>
    <xf numFmtId="4" fontId="5" fillId="0" borderId="3" xfId="0" applyNumberFormat="1" applyFont="1" applyBorder="1" applyAlignment="1">
      <alignment horizontal="right" vertical="center" wrapText="1"/>
    </xf>
    <xf numFmtId="165" fontId="5" fillId="9" borderId="3" xfId="0" applyNumberFormat="1" applyFont="1" applyFill="1" applyBorder="1" applyAlignment="1" applyProtection="1">
      <alignment horizontal="right" vertical="center" wrapText="1"/>
      <protection locked="0"/>
    </xf>
    <xf numFmtId="4" fontId="30" fillId="0" borderId="3" xfId="0" applyNumberFormat="1" applyFont="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30" fillId="0" borderId="10" xfId="0" applyNumberFormat="1" applyFont="1" applyBorder="1" applyAlignment="1">
      <alignment horizontal="center" vertical="center" wrapText="1"/>
    </xf>
    <xf numFmtId="49" fontId="30" fillId="0" borderId="0" xfId="0" applyNumberFormat="1" applyFont="1" applyAlignment="1">
      <alignment horizontal="center" vertical="center" wrapText="1"/>
    </xf>
    <xf numFmtId="0" fontId="29" fillId="0" borderId="0" xfId="0" applyNumberFormat="1" applyFont="1" applyAlignment="1">
      <alignment vertical="center" wrapText="1"/>
    </xf>
    <xf numFmtId="49" fontId="29" fillId="0" borderId="3" xfId="0" applyNumberFormat="1" applyFont="1" applyBorder="1" applyAlignment="1">
      <alignment vertical="center" wrapText="1"/>
    </xf>
    <xf numFmtId="0" fontId="29" fillId="0" borderId="0" xfId="0" applyNumberFormat="1" applyFont="1" applyAlignment="1">
      <alignment vertical="center"/>
    </xf>
    <xf numFmtId="0" fontId="5" fillId="0" borderId="10" xfId="0" applyNumberFormat="1" applyFont="1" applyBorder="1" applyAlignment="1">
      <alignment horizontal="left" vertical="top" wrapText="1" indent="1"/>
    </xf>
    <xf numFmtId="0" fontId="5" fillId="0" borderId="18" xfId="0" applyNumberFormat="1" applyFont="1" applyBorder="1" applyAlignment="1">
      <alignment horizontal="left" vertical="center" wrapText="1" indent="1"/>
    </xf>
    <xf numFmtId="0" fontId="32" fillId="8" borderId="0" xfId="0" applyNumberFormat="1" applyFont="1" applyFill="1" applyAlignment="1">
      <alignment horizontal="center" vertical="center" wrapText="1"/>
    </xf>
    <xf numFmtId="0" fontId="30" fillId="0" borderId="0" xfId="0" applyNumberFormat="1" applyFont="1" applyAlignment="1">
      <alignment vertical="center" wrapText="1"/>
    </xf>
    <xf numFmtId="0" fontId="0" fillId="0" borderId="3"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0" fillId="0" borderId="0" xfId="0" applyNumberFormat="1" applyFont="1">
      <alignment vertical="top"/>
    </xf>
    <xf numFmtId="0" fontId="29" fillId="0" borderId="0" xfId="0" applyNumberFormat="1" applyFont="1" applyAlignment="1">
      <alignment horizontal="left" vertical="center" indent="1"/>
    </xf>
    <xf numFmtId="0" fontId="29" fillId="0" borderId="0" xfId="0" applyNumberFormat="1" applyFont="1" applyAlignment="1">
      <alignment horizontal="center" vertical="center"/>
    </xf>
    <xf numFmtId="0" fontId="29" fillId="0" borderId="0" xfId="0" applyNumberFormat="1" applyFont="1" applyAlignment="1">
      <alignment horizontal="left" vertical="center" wrapText="1"/>
    </xf>
    <xf numFmtId="0" fontId="5" fillId="0" borderId="0" xfId="0" applyNumberFormat="1" applyFont="1" applyAlignment="1">
      <alignment horizontal="center" vertical="center" wrapText="1"/>
    </xf>
    <xf numFmtId="0" fontId="24" fillId="8" borderId="0" xfId="0" applyNumberFormat="1" applyFont="1" applyFill="1" applyAlignment="1">
      <alignment horizontal="center" vertical="center" wrapText="1"/>
    </xf>
    <xf numFmtId="0" fontId="5" fillId="0" borderId="15" xfId="0" applyNumberFormat="1" applyFont="1" applyBorder="1" applyAlignment="1">
      <alignment vertical="center" wrapText="1"/>
    </xf>
    <xf numFmtId="0" fontId="5" fillId="8" borderId="3" xfId="0" applyNumberFormat="1" applyFont="1" applyFill="1" applyBorder="1" applyAlignment="1">
      <alignment horizontal="left" vertical="center" wrapText="1"/>
    </xf>
    <xf numFmtId="0" fontId="5" fillId="8" borderId="3" xfId="0" applyNumberFormat="1" applyFont="1" applyFill="1" applyBorder="1" applyAlignment="1">
      <alignment horizontal="left" vertical="center" wrapText="1" indent="1"/>
    </xf>
    <xf numFmtId="0" fontId="5" fillId="0" borderId="3" xfId="0" applyNumberFormat="1" applyFont="1" applyBorder="1" applyAlignment="1">
      <alignment horizontal="left" vertical="center" wrapText="1" indent="6"/>
    </xf>
    <xf numFmtId="0" fontId="27" fillId="0" borderId="3" xfId="0" applyNumberFormat="1" applyFont="1" applyBorder="1" applyAlignment="1">
      <alignment vertical="top" wrapText="1"/>
    </xf>
    <xf numFmtId="0" fontId="30" fillId="0" borderId="0" xfId="0" applyNumberFormat="1" applyFont="1" applyAlignment="1">
      <alignment vertical="center"/>
    </xf>
    <xf numFmtId="49" fontId="0" fillId="0" borderId="0" xfId="0" applyNumberFormat="1" applyFont="1">
      <alignment vertical="top"/>
    </xf>
    <xf numFmtId="0" fontId="19" fillId="0" borderId="0" xfId="0" applyNumberFormat="1" applyFont="1" applyAlignment="1">
      <alignment vertical="center" wrapText="1"/>
    </xf>
    <xf numFmtId="0" fontId="5" fillId="8" borderId="3" xfId="0" applyNumberFormat="1" applyFont="1" applyFill="1" applyBorder="1" applyAlignment="1">
      <alignment horizontal="left" vertical="center" wrapText="1" indent="2"/>
    </xf>
    <xf numFmtId="49" fontId="0" fillId="0" borderId="0" xfId="0" applyNumberFormat="1" applyFont="1">
      <alignment vertical="top"/>
    </xf>
    <xf numFmtId="0" fontId="5" fillId="8" borderId="3" xfId="0" applyNumberFormat="1" applyFont="1" applyFill="1" applyBorder="1" applyAlignment="1">
      <alignment horizontal="left" vertical="center" wrapText="1" indent="3"/>
    </xf>
    <xf numFmtId="49" fontId="0" fillId="0" borderId="0" xfId="0" applyNumberFormat="1" applyFont="1">
      <alignment vertical="top"/>
    </xf>
    <xf numFmtId="49" fontId="29" fillId="0" borderId="0" xfId="0" applyNumberFormat="1" applyFont="1" applyAlignment="1">
      <alignment vertical="center" wrapText="1"/>
    </xf>
    <xf numFmtId="0" fontId="30" fillId="0" borderId="0" xfId="0" applyNumberFormat="1" applyFont="1" applyAlignment="1">
      <alignment horizontal="center" vertical="center" wrapText="1"/>
    </xf>
    <xf numFmtId="0" fontId="30" fillId="0" borderId="15"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4"/>
    </xf>
    <xf numFmtId="49" fontId="0" fillId="0" borderId="0" xfId="0" applyNumberFormat="1" applyFont="1">
      <alignment vertical="top"/>
    </xf>
    <xf numFmtId="0" fontId="30" fillId="0" borderId="15" xfId="0" applyNumberFormat="1" applyFont="1" applyBorder="1" applyAlignment="1">
      <alignment vertical="center" wrapText="1"/>
    </xf>
    <xf numFmtId="0" fontId="5" fillId="8" borderId="3" xfId="0" applyNumberFormat="1" applyFont="1" applyFill="1" applyBorder="1" applyAlignment="1">
      <alignment horizontal="left" vertical="center" wrapText="1" indent="5"/>
    </xf>
    <xf numFmtId="49" fontId="0" fillId="0" borderId="0" xfId="0" applyNumberFormat="1" applyFont="1">
      <alignment vertical="top"/>
    </xf>
    <xf numFmtId="0" fontId="5" fillId="13" borderId="3" xfId="0" applyNumberFormat="1" applyFont="1" applyFill="1" applyBorder="1" applyAlignment="1">
      <alignment horizontal="left" vertical="center" wrapText="1" indent="6"/>
    </xf>
    <xf numFmtId="49" fontId="0" fillId="0" borderId="0" xfId="0" applyNumberFormat="1" applyFont="1">
      <alignment vertical="top"/>
    </xf>
    <xf numFmtId="49" fontId="5" fillId="0" borderId="3" xfId="0" applyNumberFormat="1" applyFont="1" applyBorder="1" applyAlignment="1">
      <alignment horizontal="left" vertical="center" wrapText="1"/>
    </xf>
    <xf numFmtId="49" fontId="0" fillId="0" borderId="0" xfId="0" applyNumberFormat="1" applyFont="1">
      <alignment vertical="top"/>
    </xf>
    <xf numFmtId="49" fontId="55" fillId="10" borderId="5" xfId="0" applyNumberFormat="1" applyFont="1" applyFill="1" applyBorder="1" applyAlignment="1">
      <alignment horizontal="left" vertical="center"/>
    </xf>
    <xf numFmtId="49" fontId="22" fillId="10" borderId="6" xfId="0" applyNumberFormat="1" applyFont="1" applyFill="1" applyBorder="1" applyAlignment="1">
      <alignment horizontal="left" vertical="center" indent="6"/>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4" xfId="0" applyNumberFormat="1" applyFont="1" applyFill="1" applyBorder="1" applyAlignment="1">
      <alignment horizontal="center" vertical="center" wrapText="1"/>
    </xf>
    <xf numFmtId="49" fontId="0" fillId="0" borderId="0" xfId="0" applyNumberFormat="1" applyFont="1">
      <alignment vertical="top"/>
    </xf>
    <xf numFmtId="49" fontId="55" fillId="10" borderId="5" xfId="0" applyNumberFormat="1" applyFont="1" applyFill="1" applyBorder="1" applyAlignment="1">
      <alignment horizontal="left" vertical="center"/>
    </xf>
    <xf numFmtId="49" fontId="22" fillId="10" borderId="6" xfId="0" applyNumberFormat="1" applyFont="1" applyFill="1" applyBorder="1" applyAlignment="1">
      <alignment horizontal="left" vertical="center" indent="5"/>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4" xfId="0" applyNumberFormat="1" applyFont="1" applyFill="1" applyBorder="1" applyAlignment="1">
      <alignment horizontal="center" vertical="center" wrapText="1"/>
    </xf>
    <xf numFmtId="49" fontId="0" fillId="0" borderId="0" xfId="0" applyNumberFormat="1" applyFont="1">
      <alignment vertical="top"/>
    </xf>
    <xf numFmtId="49" fontId="5" fillId="0" borderId="0" xfId="0" applyNumberFormat="1" applyFont="1">
      <alignment vertical="top"/>
    </xf>
    <xf numFmtId="49" fontId="21" fillId="0" borderId="0" xfId="0" applyNumberFormat="1" applyFont="1">
      <alignment vertical="top"/>
    </xf>
    <xf numFmtId="49" fontId="5" fillId="0" borderId="15" xfId="0" applyNumberFormat="1" applyFont="1" applyBorder="1">
      <alignment vertical="top"/>
    </xf>
    <xf numFmtId="49" fontId="55" fillId="10" borderId="5" xfId="0" applyNumberFormat="1" applyFont="1" applyFill="1" applyBorder="1" applyAlignment="1">
      <alignment horizontal="left" vertical="center"/>
    </xf>
    <xf numFmtId="49" fontId="22" fillId="10" borderId="6" xfId="0" applyNumberFormat="1" applyFont="1" applyFill="1" applyBorder="1" applyAlignment="1">
      <alignment horizontal="left" vertical="center" indent="4"/>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4" xfId="0" applyNumberFormat="1" applyFont="1" applyFill="1" applyBorder="1" applyAlignment="1">
      <alignment horizontal="center" vertical="center" wrapText="1"/>
    </xf>
    <xf numFmtId="0" fontId="45" fillId="0" borderId="0" xfId="0" applyNumberFormat="1" applyFont="1" applyAlignment="1">
      <alignment vertical="center" wrapText="1"/>
    </xf>
    <xf numFmtId="0" fontId="30" fillId="0" borderId="0" xfId="0" applyNumberFormat="1" applyFont="1" applyAlignment="1">
      <alignment horizontal="left" vertical="center" indent="1"/>
    </xf>
    <xf numFmtId="0" fontId="30" fillId="0" borderId="0" xfId="0" applyNumberFormat="1" applyFont="1" applyAlignment="1">
      <alignment horizontal="center" vertical="center"/>
    </xf>
    <xf numFmtId="0" fontId="30" fillId="0" borderId="0" xfId="0" applyNumberFormat="1" applyFont="1" applyAlignment="1">
      <alignment horizontal="left" vertical="center" wrapText="1"/>
    </xf>
    <xf numFmtId="49" fontId="30" fillId="0" borderId="0" xfId="0" applyNumberFormat="1" applyFont="1">
      <alignment vertical="top"/>
    </xf>
    <xf numFmtId="49" fontId="89" fillId="0" borderId="0" xfId="0" applyNumberFormat="1" applyFont="1">
      <alignment vertical="top"/>
    </xf>
    <xf numFmtId="49" fontId="79" fillId="0" borderId="10" xfId="0" applyNumberFormat="1" applyFont="1" applyBorder="1" applyAlignment="1">
      <alignment horizontal="left" vertical="center"/>
    </xf>
    <xf numFmtId="49" fontId="30" fillId="0" borderId="10" xfId="0" applyNumberFormat="1" applyFont="1" applyBorder="1" applyAlignment="1">
      <alignment horizontal="left" vertical="center" indent="3"/>
    </xf>
    <xf numFmtId="0" fontId="45" fillId="0" borderId="0" xfId="0" applyNumberFormat="1" applyFont="1" applyAlignment="1">
      <alignment vertical="center" wrapText="1"/>
    </xf>
    <xf numFmtId="49" fontId="30" fillId="0" borderId="0" xfId="0" applyNumberFormat="1" applyFont="1" applyAlignment="1">
      <alignment horizontal="left" vertical="center"/>
    </xf>
    <xf numFmtId="49" fontId="79" fillId="0" borderId="0" xfId="0" applyNumberFormat="1" applyFont="1" applyAlignment="1">
      <alignment horizontal="left" vertical="center"/>
    </xf>
    <xf numFmtId="49" fontId="30" fillId="0" borderId="0" xfId="0" applyNumberFormat="1" applyFont="1" applyAlignment="1">
      <alignment horizontal="left" vertical="center" indent="2"/>
    </xf>
    <xf numFmtId="49" fontId="0" fillId="0" borderId="0" xfId="0" applyNumberFormat="1" applyFont="1">
      <alignment vertical="top"/>
    </xf>
    <xf numFmtId="49" fontId="0" fillId="0" borderId="0" xfId="0" applyNumberFormat="1" applyFont="1">
      <alignment vertical="top"/>
    </xf>
    <xf numFmtId="49" fontId="0" fillId="0" borderId="0" xfId="0" applyNumberFormat="1" applyFont="1">
      <alignment vertical="top"/>
    </xf>
    <xf numFmtId="49" fontId="0" fillId="0" borderId="0" xfId="0" applyNumberFormat="1" applyFont="1">
      <alignment vertical="top"/>
    </xf>
    <xf numFmtId="49" fontId="0" fillId="0" borderId="0" xfId="0" applyNumberFormat="1" applyFont="1">
      <alignment vertical="top"/>
    </xf>
    <xf numFmtId="49" fontId="0" fillId="0" borderId="0" xfId="0" applyNumberFormat="1" applyFont="1">
      <alignment vertical="top"/>
    </xf>
    <xf numFmtId="49" fontId="0" fillId="0" borderId="0" xfId="0" applyNumberFormat="1" applyFont="1">
      <alignment vertical="top"/>
    </xf>
    <xf numFmtId="49" fontId="0" fillId="0" borderId="0" xfId="0" applyNumberFormat="1" applyFont="1">
      <alignment vertical="top"/>
    </xf>
    <xf numFmtId="49" fontId="55" fillId="10" borderId="5" xfId="0" applyNumberFormat="1" applyFont="1" applyFill="1" applyBorder="1" applyAlignment="1">
      <alignment horizontal="left" vertical="center"/>
    </xf>
    <xf numFmtId="49" fontId="22" fillId="10" borderId="6" xfId="0" applyNumberFormat="1" applyFont="1" applyFill="1" applyBorder="1" applyAlignment="1">
      <alignment horizontal="left" vertical="center" indent="6"/>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4" xfId="0" applyNumberFormat="1" applyFont="1" applyFill="1" applyBorder="1" applyAlignment="1">
      <alignment horizontal="center" vertical="center" wrapText="1"/>
    </xf>
    <xf numFmtId="49" fontId="0" fillId="0" borderId="0" xfId="0" applyNumberFormat="1" applyFont="1">
      <alignment vertical="top"/>
    </xf>
    <xf numFmtId="49" fontId="55" fillId="10" borderId="5" xfId="0" applyNumberFormat="1" applyFont="1" applyFill="1" applyBorder="1" applyAlignment="1">
      <alignment horizontal="left" vertical="center"/>
    </xf>
    <xf numFmtId="49" fontId="22" fillId="10" borderId="6" xfId="0" applyNumberFormat="1" applyFont="1" applyFill="1" applyBorder="1" applyAlignment="1">
      <alignment horizontal="left" vertical="center" indent="5"/>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4" xfId="0" applyNumberFormat="1" applyFont="1" applyFill="1" applyBorder="1" applyAlignment="1">
      <alignment horizontal="center" vertical="center" wrapText="1"/>
    </xf>
    <xf numFmtId="49" fontId="0" fillId="0" borderId="0" xfId="0" applyNumberFormat="1" applyFont="1">
      <alignment vertical="top"/>
    </xf>
    <xf numFmtId="49" fontId="55" fillId="10" borderId="5" xfId="0" applyNumberFormat="1" applyFont="1" applyFill="1" applyBorder="1" applyAlignment="1">
      <alignment horizontal="left" vertical="center"/>
    </xf>
    <xf numFmtId="49" fontId="22" fillId="10" borderId="6" xfId="0" applyNumberFormat="1" applyFont="1" applyFill="1" applyBorder="1" applyAlignment="1">
      <alignment horizontal="left" vertical="center" indent="4"/>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4" xfId="0" applyNumberFormat="1" applyFont="1" applyFill="1" applyBorder="1" applyAlignment="1">
      <alignment horizontal="center" vertical="center" wrapText="1"/>
    </xf>
    <xf numFmtId="0" fontId="45" fillId="0" borderId="0" xfId="0" applyNumberFormat="1" applyFont="1" applyAlignment="1">
      <alignment vertical="center" wrapText="1"/>
    </xf>
    <xf numFmtId="0" fontId="45" fillId="0" borderId="0" xfId="0" applyNumberFormat="1" applyFont="1" applyAlignment="1">
      <alignment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30" fillId="0" borderId="6" xfId="0" applyNumberFormat="1" applyFont="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0" fillId="0" borderId="0" xfId="0" applyNumberFormat="1" applyFont="1">
      <alignment vertical="top"/>
    </xf>
    <xf numFmtId="49" fontId="0" fillId="0" borderId="0" xfId="0" applyNumberFormat="1" applyFont="1">
      <alignment vertical="top"/>
    </xf>
    <xf numFmtId="49" fontId="0" fillId="0" borderId="0" xfId="0" applyNumberFormat="1" applyFont="1">
      <alignment vertical="top"/>
    </xf>
    <xf numFmtId="49" fontId="0" fillId="0" borderId="0" xfId="0" applyNumberFormat="1" applyFont="1">
      <alignment vertical="top"/>
    </xf>
    <xf numFmtId="0" fontId="30" fillId="0" borderId="3" xfId="0" applyNumberFormat="1" applyFont="1" applyBorder="1" applyAlignment="1">
      <alignment horizontal="left" vertical="center" wrapText="1"/>
    </xf>
    <xf numFmtId="0" fontId="30" fillId="0" borderId="3" xfId="0" applyNumberFormat="1" applyFont="1" applyBorder="1" applyAlignment="1">
      <alignment horizontal="left" vertical="center" wrapText="1" indent="4"/>
    </xf>
    <xf numFmtId="0" fontId="30" fillId="0" borderId="3" xfId="0" applyNumberFormat="1" applyFont="1" applyBorder="1" applyAlignment="1">
      <alignment horizontal="left" vertical="center" wrapText="1" indent="6"/>
    </xf>
    <xf numFmtId="0" fontId="30" fillId="0" borderId="3" xfId="0" applyNumberFormat="1" applyFont="1" applyBorder="1" applyAlignment="1">
      <alignment vertical="top" wrapText="1"/>
    </xf>
    <xf numFmtId="49" fontId="0" fillId="0" borderId="0" xfId="0" applyNumberFormat="1" applyFont="1">
      <alignment vertical="top"/>
    </xf>
    <xf numFmtId="49" fontId="0" fillId="0" borderId="0" xfId="0" applyNumberFormat="1" applyFont="1">
      <alignment vertical="top"/>
    </xf>
    <xf numFmtId="49" fontId="0" fillId="0" borderId="0" xfId="0" applyNumberFormat="1" applyFont="1">
      <alignment vertical="top"/>
    </xf>
    <xf numFmtId="49" fontId="0" fillId="0" borderId="0" xfId="0" applyNumberFormat="1" applyFont="1">
      <alignment vertical="top"/>
    </xf>
    <xf numFmtId="49" fontId="55" fillId="10" borderId="5" xfId="0" applyNumberFormat="1" applyFont="1" applyFill="1" applyBorder="1" applyAlignment="1">
      <alignment horizontal="left" vertical="center"/>
    </xf>
    <xf numFmtId="49" fontId="22" fillId="10" borderId="6" xfId="0" applyNumberFormat="1" applyFont="1" applyFill="1" applyBorder="1" applyAlignment="1">
      <alignment horizontal="left" vertical="center" indent="5"/>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4" xfId="0" applyNumberFormat="1" applyFont="1" applyFill="1" applyBorder="1" applyAlignment="1">
      <alignment horizontal="center" vertical="center" wrapText="1"/>
    </xf>
    <xf numFmtId="49" fontId="0" fillId="0" borderId="0" xfId="0" applyNumberFormat="1" applyFont="1">
      <alignment vertical="top"/>
    </xf>
    <xf numFmtId="49" fontId="55" fillId="10" borderId="5" xfId="0" applyNumberFormat="1" applyFont="1" applyFill="1" applyBorder="1" applyAlignment="1">
      <alignment horizontal="left" vertical="center"/>
    </xf>
    <xf numFmtId="49" fontId="22" fillId="10" borderId="6" xfId="0" applyNumberFormat="1" applyFont="1" applyFill="1" applyBorder="1" applyAlignment="1">
      <alignment horizontal="left" vertical="center" indent="4"/>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4" xfId="0" applyNumberFormat="1" applyFont="1" applyFill="1" applyBorder="1" applyAlignment="1">
      <alignment horizontal="center" vertical="center" wrapText="1"/>
    </xf>
    <xf numFmtId="49" fontId="0" fillId="0" borderId="0" xfId="0" applyNumberFormat="1" applyFont="1">
      <alignment vertical="top"/>
    </xf>
    <xf numFmtId="49" fontId="79" fillId="0" borderId="5" xfId="0" applyNumberFormat="1" applyFont="1" applyBorder="1" applyAlignment="1">
      <alignment horizontal="left" vertical="center"/>
    </xf>
    <xf numFmtId="49" fontId="30" fillId="0" borderId="6" xfId="0" applyNumberFormat="1" applyFont="1" applyBorder="1" applyAlignment="1">
      <alignment horizontal="left" vertical="center" indent="4"/>
    </xf>
    <xf numFmtId="49" fontId="30" fillId="0" borderId="4" xfId="0" applyNumberFormat="1" applyFont="1" applyBorder="1" applyAlignment="1">
      <alignment horizontal="center" vertical="center" wrapText="1"/>
    </xf>
    <xf numFmtId="0" fontId="45" fillId="0" borderId="0" xfId="0" applyNumberFormat="1" applyFont="1" applyAlignment="1">
      <alignment vertical="center" wrapText="1"/>
    </xf>
    <xf numFmtId="0" fontId="45" fillId="0" borderId="0" xfId="0" applyNumberFormat="1" applyFont="1" applyAlignment="1">
      <alignment vertical="center" wrapText="1"/>
    </xf>
    <xf numFmtId="49" fontId="0" fillId="0" borderId="0" xfId="0" applyNumberFormat="1" applyFont="1">
      <alignment vertical="top"/>
    </xf>
    <xf numFmtId="49" fontId="0" fillId="0" borderId="0" xfId="0" applyNumberFormat="1" applyFont="1">
      <alignment vertical="top"/>
    </xf>
    <xf numFmtId="49" fontId="0" fillId="0" borderId="0" xfId="0" applyNumberFormat="1" applyFont="1">
      <alignment vertical="top"/>
    </xf>
    <xf numFmtId="49" fontId="0" fillId="0" borderId="0" xfId="0" applyNumberFormat="1" applyFont="1">
      <alignment vertical="top"/>
    </xf>
    <xf numFmtId="49" fontId="0" fillId="0" borderId="0" xfId="0" applyNumberFormat="1" applyFont="1">
      <alignment vertical="top"/>
    </xf>
    <xf numFmtId="49" fontId="0" fillId="0" borderId="0" xfId="0" applyNumberFormat="1" applyFont="1">
      <alignment vertical="top"/>
    </xf>
    <xf numFmtId="49" fontId="0" fillId="0" borderId="0" xfId="0" applyNumberFormat="1" applyFont="1">
      <alignment vertical="top"/>
    </xf>
    <xf numFmtId="49" fontId="0" fillId="0" borderId="0" xfId="0" applyNumberFormat="1" applyFont="1">
      <alignment vertical="top"/>
    </xf>
    <xf numFmtId="49" fontId="55" fillId="10" borderId="5" xfId="0" applyNumberFormat="1" applyFont="1" applyFill="1" applyBorder="1" applyAlignment="1">
      <alignment horizontal="left" vertical="center"/>
    </xf>
    <xf numFmtId="49" fontId="22" fillId="10" borderId="6" xfId="0" applyNumberFormat="1" applyFont="1" applyFill="1" applyBorder="1" applyAlignment="1">
      <alignment horizontal="left" vertical="center" indent="5"/>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4" xfId="0" applyNumberFormat="1" applyFont="1" applyFill="1" applyBorder="1" applyAlignment="1">
      <alignment horizontal="center" vertical="center" wrapText="1"/>
    </xf>
    <xf numFmtId="49" fontId="0" fillId="0" borderId="0" xfId="0" applyNumberFormat="1" applyFont="1">
      <alignment vertical="top"/>
    </xf>
    <xf numFmtId="49" fontId="55" fillId="10" borderId="5" xfId="0" applyNumberFormat="1" applyFont="1" applyFill="1" applyBorder="1" applyAlignment="1">
      <alignment horizontal="left" vertical="center"/>
    </xf>
    <xf numFmtId="49" fontId="22" fillId="10" borderId="6" xfId="0" applyNumberFormat="1" applyFont="1" applyFill="1" applyBorder="1" applyAlignment="1">
      <alignment horizontal="left" vertical="center" indent="4"/>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4" xfId="0" applyNumberFormat="1" applyFont="1" applyFill="1" applyBorder="1" applyAlignment="1">
      <alignment horizontal="center" vertical="center" wrapText="1"/>
    </xf>
    <xf numFmtId="49" fontId="0" fillId="0" borderId="0" xfId="0" applyNumberFormat="1" applyFont="1">
      <alignment vertical="top"/>
    </xf>
    <xf numFmtId="0" fontId="45" fillId="0" borderId="0" xfId="0" applyNumberFormat="1" applyFont="1" applyAlignment="1">
      <alignment vertical="center" wrapText="1"/>
    </xf>
    <xf numFmtId="0" fontId="45" fillId="0" borderId="0" xfId="0" applyNumberFormat="1" applyFont="1" applyAlignment="1">
      <alignment vertical="center" wrapText="1"/>
    </xf>
    <xf numFmtId="4" fontId="5" fillId="9" borderId="14" xfId="0" applyNumberFormat="1" applyFont="1" applyFill="1" applyBorder="1" applyAlignment="1" applyProtection="1">
      <alignment horizontal="right" vertical="center" wrapText="1"/>
      <protection locked="0"/>
    </xf>
    <xf numFmtId="4" fontId="5" fillId="0" borderId="14" xfId="0" applyNumberFormat="1" applyFont="1" applyBorder="1" applyAlignment="1">
      <alignment horizontal="right" vertical="center" wrapText="1"/>
    </xf>
    <xf numFmtId="165" fontId="5" fillId="9" borderId="14" xfId="0" applyNumberFormat="1" applyFont="1" applyFill="1" applyBorder="1" applyAlignment="1" applyProtection="1">
      <alignment horizontal="right" vertical="center" wrapText="1"/>
      <protection locked="0"/>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0" fontId="5" fillId="0" borderId="10" xfId="0" applyNumberFormat="1" applyFont="1" applyBorder="1" applyAlignment="1">
      <alignment horizontal="left" vertical="center" wrapText="1" inden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165" fontId="5" fillId="9" borderId="5" xfId="0" applyNumberFormat="1" applyFont="1" applyFill="1" applyBorder="1" applyAlignment="1" applyProtection="1">
      <alignment horizontal="right" vertical="center" wrapText="1"/>
      <protection locked="0"/>
    </xf>
    <xf numFmtId="4" fontId="30" fillId="0" borderId="5" xfId="0" applyNumberFormat="1" applyFont="1" applyBorder="1" applyAlignment="1">
      <alignment horizontal="center" vertical="center" wrapText="1"/>
    </xf>
    <xf numFmtId="4" fontId="5" fillId="10" borderId="6" xfId="0" applyNumberFormat="1" applyFont="1" applyFill="1" applyBorder="1" applyAlignment="1">
      <alignment horizontal="right" vertical="center" wrapText="1"/>
    </xf>
    <xf numFmtId="4" fontId="5" fillId="10" borderId="6" xfId="0" applyNumberFormat="1" applyFont="1" applyFill="1" applyBorder="1" applyAlignment="1">
      <alignment horizontal="right" vertical="center" wrapText="1"/>
    </xf>
    <xf numFmtId="4" fontId="5" fillId="10" borderId="6" xfId="0" applyNumberFormat="1" applyFont="1" applyFill="1" applyBorder="1" applyAlignment="1">
      <alignment horizontal="right" vertical="center" wrapText="1"/>
    </xf>
    <xf numFmtId="4" fontId="5" fillId="10" borderId="6" xfId="0" applyNumberFormat="1" applyFont="1" applyFill="1" applyBorder="1" applyAlignment="1">
      <alignment horizontal="right" vertical="center" wrapText="1"/>
    </xf>
    <xf numFmtId="4" fontId="3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18" xfId="0" applyNumberFormat="1" applyFont="1" applyFill="1" applyBorder="1" applyAlignment="1">
      <alignment horizontal="center" vertical="center" wrapText="1"/>
    </xf>
    <xf numFmtId="49" fontId="5" fillId="10" borderId="18" xfId="0" applyNumberFormat="1" applyFont="1" applyFill="1" applyBorder="1" applyAlignment="1">
      <alignment horizontal="center" vertical="center" wrapText="1"/>
    </xf>
    <xf numFmtId="49" fontId="5" fillId="10" borderId="18" xfId="0" applyNumberFormat="1" applyFont="1" applyFill="1" applyBorder="1" applyAlignment="1">
      <alignment horizontal="center" vertical="center" wrapText="1"/>
    </xf>
    <xf numFmtId="49" fontId="5" fillId="10" borderId="18"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0" fontId="62" fillId="8" borderId="0" xfId="0" applyNumberFormat="1" applyFont="1" applyFill="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18" xfId="0" applyNumberFormat="1" applyFont="1" applyFill="1" applyBorder="1" applyAlignment="1">
      <alignment horizontal="center" vertical="center" wrapText="1"/>
    </xf>
    <xf numFmtId="49" fontId="5" fillId="10" borderId="18" xfId="0" applyNumberFormat="1" applyFont="1" applyFill="1" applyBorder="1" applyAlignment="1">
      <alignment horizontal="center" vertical="center" wrapText="1"/>
    </xf>
    <xf numFmtId="49" fontId="5" fillId="10" borderId="18" xfId="0" applyNumberFormat="1" applyFont="1" applyFill="1" applyBorder="1" applyAlignment="1">
      <alignment horizontal="center" vertical="center" wrapText="1"/>
    </xf>
    <xf numFmtId="49" fontId="5" fillId="10" borderId="18"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0" fillId="0" borderId="0" xfId="0" applyNumberFormat="1" applyFont="1">
      <alignment vertical="top"/>
    </xf>
    <xf numFmtId="0" fontId="5" fillId="0" borderId="0" xfId="0" applyNumberFormat="1" applyFont="1" applyAlignment="1">
      <alignment horizontal="center" vertical="center"/>
    </xf>
    <xf numFmtId="0" fontId="5" fillId="0" borderId="0" xfId="0" applyNumberFormat="1" applyFont="1" applyAlignment="1">
      <alignment horizontal="left" vertical="center" wrapText="1"/>
    </xf>
    <xf numFmtId="49" fontId="0" fillId="0" borderId="0" xfId="0" applyNumberFormat="1" applyFont="1">
      <alignment vertical="top"/>
    </xf>
    <xf numFmtId="49" fontId="0" fillId="0" borderId="0" xfId="0" applyNumberFormat="1" applyFont="1">
      <alignment vertical="top"/>
    </xf>
    <xf numFmtId="49" fontId="0" fillId="0" borderId="0" xfId="0" applyNumberFormat="1" applyFont="1">
      <alignment vertical="top"/>
    </xf>
    <xf numFmtId="49" fontId="5" fillId="0" borderId="0" xfId="0" applyNumberFormat="1" applyFont="1" applyAlignment="1">
      <alignment vertical="center" wrapText="1"/>
    </xf>
    <xf numFmtId="49" fontId="0" fillId="0" borderId="0" xfId="0" applyNumberFormat="1" applyFont="1">
      <alignment vertical="top"/>
    </xf>
    <xf numFmtId="49" fontId="0" fillId="0" borderId="0" xfId="0" applyNumberFormat="1" applyFont="1">
      <alignment vertical="top"/>
    </xf>
    <xf numFmtId="4" fontId="5" fillId="9" borderId="4" xfId="0" applyNumberFormat="1" applyFont="1" applyFill="1" applyBorder="1" applyAlignment="1" applyProtection="1">
      <alignment horizontal="right" vertical="center" wrapText="1"/>
      <protection locked="0"/>
    </xf>
    <xf numFmtId="0" fontId="27" fillId="0" borderId="8" xfId="0" applyNumberFormat="1" applyFont="1" applyBorder="1" applyAlignment="1">
      <alignment vertical="top" wrapText="1"/>
    </xf>
    <xf numFmtId="49" fontId="0" fillId="0" borderId="0" xfId="0" applyNumberFormat="1" applyFont="1">
      <alignment vertical="top"/>
    </xf>
    <xf numFmtId="0" fontId="5" fillId="9" borderId="3" xfId="0" applyNumberFormat="1" applyFont="1" applyFill="1" applyBorder="1" applyAlignment="1" applyProtection="1">
      <alignment horizontal="left" vertical="center" wrapText="1" indent="7"/>
      <protection locked="0"/>
    </xf>
    <xf numFmtId="49" fontId="0" fillId="0" borderId="0" xfId="0" applyNumberFormat="1" applyFont="1">
      <alignment vertical="top"/>
    </xf>
    <xf numFmtId="4" fontId="5" fillId="0" borderId="4" xfId="0" applyNumberFormat="1" applyFont="1" applyBorder="1" applyAlignment="1">
      <alignment horizontal="right" vertical="center" wrapText="1"/>
    </xf>
    <xf numFmtId="49" fontId="0" fillId="0" borderId="0" xfId="0" applyNumberFormat="1" applyFont="1">
      <alignment vertical="top"/>
    </xf>
    <xf numFmtId="49" fontId="55" fillId="10" borderId="5" xfId="0" applyNumberFormat="1" applyFont="1" applyFill="1" applyBorder="1" applyAlignment="1">
      <alignment horizontal="left" vertical="center"/>
    </xf>
    <xf numFmtId="49" fontId="22" fillId="10" borderId="6" xfId="0" applyNumberFormat="1" applyFont="1" applyFill="1" applyBorder="1" applyAlignment="1">
      <alignment horizontal="left" vertical="center" indent="6"/>
    </xf>
    <xf numFmtId="0" fontId="5" fillId="10" borderId="6" xfId="0" applyNumberFormat="1" applyFont="1" applyFill="1" applyBorder="1" applyAlignment="1">
      <alignment horizontal="left" vertical="center" wrapText="1" indent="6"/>
    </xf>
    <xf numFmtId="4" fontId="5" fillId="10" borderId="6" xfId="0" applyNumberFormat="1" applyFont="1" applyFill="1" applyBorder="1" applyAlignment="1">
      <alignment horizontal="right" vertical="center" wrapText="1"/>
    </xf>
    <xf numFmtId="4" fontId="5" fillId="10" borderId="6" xfId="0" applyNumberFormat="1" applyFont="1" applyFill="1" applyBorder="1" applyAlignment="1">
      <alignment horizontal="right" vertical="center" wrapText="1"/>
    </xf>
    <xf numFmtId="4" fontId="5" fillId="10" borderId="6" xfId="0" applyNumberFormat="1" applyFont="1" applyFill="1" applyBorder="1" applyAlignment="1">
      <alignment horizontal="right" vertical="center" wrapText="1"/>
    </xf>
    <xf numFmtId="4" fontId="5" fillId="10" borderId="6" xfId="0" applyNumberFormat="1" applyFont="1" applyFill="1" applyBorder="1" applyAlignment="1">
      <alignment horizontal="right" vertical="center" wrapText="1"/>
    </xf>
    <xf numFmtId="4" fontId="30" fillId="10" borderId="6" xfId="0" applyNumberFormat="1" applyFont="1" applyFill="1" applyBorder="1" applyAlignment="1">
      <alignment horizontal="center" vertical="center" wrapText="1"/>
    </xf>
    <xf numFmtId="4" fontId="5" fillId="10" borderId="6" xfId="0" applyNumberFormat="1" applyFont="1" applyFill="1" applyBorder="1" applyAlignment="1">
      <alignment horizontal="right" vertical="center" wrapText="1"/>
    </xf>
    <xf numFmtId="4" fontId="5" fillId="10" borderId="6" xfId="0" applyNumberFormat="1" applyFont="1" applyFill="1" applyBorder="1" applyAlignment="1">
      <alignment horizontal="right" vertical="center" wrapText="1"/>
    </xf>
    <xf numFmtId="4" fontId="5" fillId="10" borderId="6" xfId="0" applyNumberFormat="1" applyFont="1" applyFill="1" applyBorder="1" applyAlignment="1">
      <alignment horizontal="right" vertical="center" wrapText="1"/>
    </xf>
    <xf numFmtId="4" fontId="5" fillId="10" borderId="6" xfId="0" applyNumberFormat="1" applyFont="1" applyFill="1" applyBorder="1" applyAlignment="1">
      <alignment horizontal="right" vertical="center" wrapText="1"/>
    </xf>
    <xf numFmtId="4" fontId="30" fillId="10" borderId="6" xfId="0" applyNumberFormat="1" applyFont="1" applyFill="1" applyBorder="1" applyAlignment="1">
      <alignment horizontal="center" vertical="center" wrapText="1"/>
    </xf>
    <xf numFmtId="4" fontId="5" fillId="10" borderId="6" xfId="0" applyNumberFormat="1" applyFont="1" applyFill="1" applyBorder="1" applyAlignment="1">
      <alignment horizontal="right" vertical="center" wrapText="1"/>
    </xf>
    <xf numFmtId="4" fontId="5" fillId="10" borderId="6" xfId="0" applyNumberFormat="1" applyFont="1" applyFill="1" applyBorder="1" applyAlignment="1">
      <alignment horizontal="right" vertical="center" wrapText="1"/>
    </xf>
    <xf numFmtId="4" fontId="5" fillId="10" borderId="6" xfId="0" applyNumberFormat="1" applyFont="1" applyFill="1" applyBorder="1" applyAlignment="1">
      <alignment horizontal="right" vertical="center" wrapText="1"/>
    </xf>
    <xf numFmtId="4" fontId="5" fillId="10" borderId="6" xfId="0" applyNumberFormat="1" applyFont="1" applyFill="1" applyBorder="1" applyAlignment="1">
      <alignment horizontal="right" vertical="center" wrapText="1"/>
    </xf>
    <xf numFmtId="4" fontId="30" fillId="10" borderId="6" xfId="0" applyNumberFormat="1" applyFont="1" applyFill="1" applyBorder="1" applyAlignment="1">
      <alignment horizontal="center" vertical="center" wrapText="1"/>
    </xf>
    <xf numFmtId="4" fontId="5" fillId="10" borderId="4" xfId="0" applyNumberFormat="1" applyFont="1" applyFill="1" applyBorder="1" applyAlignment="1">
      <alignment horizontal="right" vertical="center" wrapText="1"/>
    </xf>
    <xf numFmtId="49" fontId="0" fillId="0" borderId="0" xfId="0" applyNumberFormat="1" applyFont="1">
      <alignment vertical="top"/>
    </xf>
    <xf numFmtId="49" fontId="55" fillId="10" borderId="5" xfId="0" applyNumberFormat="1" applyFont="1" applyFill="1" applyBorder="1" applyAlignment="1">
      <alignment horizontal="left" vertical="center"/>
    </xf>
    <xf numFmtId="49" fontId="22" fillId="10" borderId="6" xfId="0" applyNumberFormat="1" applyFont="1" applyFill="1" applyBorder="1" applyAlignment="1">
      <alignment horizontal="left" vertical="center" indent="5"/>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18" xfId="0" applyNumberFormat="1" applyFont="1" applyFill="1" applyBorder="1" applyAlignment="1">
      <alignment horizontal="center" vertical="center" wrapText="1"/>
    </xf>
    <xf numFmtId="49" fontId="5" fillId="10" borderId="18" xfId="0" applyNumberFormat="1" applyFont="1" applyFill="1" applyBorder="1" applyAlignment="1">
      <alignment horizontal="center" vertical="center" wrapText="1"/>
    </xf>
    <xf numFmtId="49" fontId="5" fillId="10" borderId="18" xfId="0" applyNumberFormat="1" applyFont="1" applyFill="1" applyBorder="1" applyAlignment="1">
      <alignment horizontal="center" vertical="center" wrapText="1"/>
    </xf>
    <xf numFmtId="49" fontId="5" fillId="10" borderId="18"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18" xfId="0" applyNumberFormat="1" applyFont="1" applyFill="1" applyBorder="1" applyAlignment="1">
      <alignment horizontal="center" vertical="center" wrapText="1"/>
    </xf>
    <xf numFmtId="49" fontId="5" fillId="10" borderId="18" xfId="0" applyNumberFormat="1" applyFont="1" applyFill="1" applyBorder="1" applyAlignment="1">
      <alignment horizontal="center" vertical="center" wrapText="1"/>
    </xf>
    <xf numFmtId="49" fontId="5" fillId="10" borderId="18" xfId="0" applyNumberFormat="1" applyFont="1" applyFill="1" applyBorder="1" applyAlignment="1">
      <alignment horizontal="center" vertical="center" wrapText="1"/>
    </xf>
    <xf numFmtId="49" fontId="5" fillId="10" borderId="18" xfId="0" applyNumberFormat="1" applyFont="1" applyFill="1" applyBorder="1" applyAlignment="1">
      <alignment horizontal="center" vertical="center" wrapText="1"/>
    </xf>
    <xf numFmtId="49" fontId="5" fillId="10" borderId="4" xfId="0" applyNumberFormat="1" applyFont="1" applyFill="1" applyBorder="1" applyAlignment="1">
      <alignment horizontal="center" vertical="center" wrapText="1"/>
    </xf>
    <xf numFmtId="49" fontId="0" fillId="0" borderId="0" xfId="0" applyNumberFormat="1" applyFont="1">
      <alignment vertical="top"/>
    </xf>
    <xf numFmtId="49" fontId="55" fillId="10" borderId="5" xfId="0" applyNumberFormat="1" applyFont="1" applyFill="1" applyBorder="1" applyAlignment="1">
      <alignment horizontal="left" vertical="center"/>
    </xf>
    <xf numFmtId="49" fontId="22" fillId="10" borderId="6" xfId="0" applyNumberFormat="1" applyFont="1" applyFill="1" applyBorder="1" applyAlignment="1">
      <alignment horizontal="left" vertical="center" indent="4"/>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4" xfId="0" applyNumberFormat="1" applyFont="1" applyFill="1" applyBorder="1" applyAlignment="1">
      <alignment horizontal="center" vertical="center" wrapText="1"/>
    </xf>
    <xf numFmtId="49" fontId="0" fillId="0" borderId="0" xfId="0" applyNumberFormat="1" applyFont="1">
      <alignment vertical="top"/>
    </xf>
    <xf numFmtId="0" fontId="45" fillId="0" borderId="0" xfId="0" applyNumberFormat="1" applyFont="1" applyAlignment="1">
      <alignment vertical="center" wrapText="1"/>
    </xf>
    <xf numFmtId="0" fontId="54" fillId="0" borderId="0" xfId="0" applyNumberFormat="1" applyFont="1" applyAlignment="1">
      <alignment horizontal="left" vertical="center" indent="1"/>
    </xf>
    <xf numFmtId="0" fontId="54" fillId="0" borderId="0" xfId="0" applyNumberFormat="1" applyFont="1" applyAlignment="1">
      <alignment horizontal="center" vertical="center"/>
    </xf>
    <xf numFmtId="0" fontId="54" fillId="0" borderId="0" xfId="0" applyNumberFormat="1" applyFont="1" applyAlignment="1">
      <alignment horizontal="left" vertical="center" wrapText="1"/>
    </xf>
    <xf numFmtId="0" fontId="54" fillId="0" borderId="0" xfId="0" applyNumberFormat="1" applyFont="1" applyAlignment="1">
      <alignment vertical="center" wrapText="1"/>
    </xf>
    <xf numFmtId="0" fontId="45" fillId="0" borderId="0" xfId="0" applyNumberFormat="1" applyFont="1" applyAlignment="1">
      <alignment vertical="center" wrapText="1"/>
    </xf>
    <xf numFmtId="49" fontId="54" fillId="0" borderId="0" xfId="0" applyNumberFormat="1" applyFont="1" applyAlignment="1">
      <alignment horizontal="left" vertical="center"/>
    </xf>
    <xf numFmtId="49" fontId="0" fillId="0" borderId="0" xfId="0" applyNumberFormat="1" applyFont="1">
      <alignment vertical="top"/>
    </xf>
    <xf numFmtId="49" fontId="0" fillId="0" borderId="0" xfId="0" applyNumberFormat="1" applyFont="1">
      <alignment vertical="top"/>
    </xf>
    <xf numFmtId="49" fontId="0" fillId="0" borderId="0" xfId="0" applyNumberFormat="1" applyFont="1">
      <alignment vertical="top"/>
    </xf>
    <xf numFmtId="49" fontId="0" fillId="0" borderId="0" xfId="0" applyNumberFormat="1" applyFont="1">
      <alignment vertical="top"/>
    </xf>
    <xf numFmtId="49" fontId="0" fillId="0" borderId="0" xfId="0" applyNumberFormat="1" applyFont="1">
      <alignment vertical="top"/>
    </xf>
    <xf numFmtId="49" fontId="0" fillId="0" borderId="0" xfId="0" applyNumberFormat="1" applyFont="1">
      <alignment vertical="top"/>
    </xf>
    <xf numFmtId="49" fontId="0" fillId="0" borderId="0" xfId="0" applyNumberFormat="1" applyFont="1">
      <alignment vertical="top"/>
    </xf>
    <xf numFmtId="49" fontId="0" fillId="0" borderId="0" xfId="0" applyNumberFormat="1" applyFont="1">
      <alignment vertical="top"/>
    </xf>
    <xf numFmtId="49" fontId="0" fillId="0" borderId="0" xfId="0" applyNumberFormat="1" applyFont="1">
      <alignment vertical="top"/>
    </xf>
    <xf numFmtId="49" fontId="55" fillId="10" borderId="5" xfId="0" applyNumberFormat="1" applyFont="1" applyFill="1" applyBorder="1" applyAlignment="1">
      <alignment horizontal="left" vertical="center"/>
    </xf>
    <xf numFmtId="49" fontId="22" fillId="10" borderId="6" xfId="0" applyNumberFormat="1" applyFont="1" applyFill="1" applyBorder="1" applyAlignment="1">
      <alignment horizontal="left" vertical="center" indent="6"/>
    </xf>
    <xf numFmtId="0" fontId="5" fillId="10" borderId="6" xfId="0" applyNumberFormat="1" applyFont="1" applyFill="1" applyBorder="1" applyAlignment="1">
      <alignment horizontal="left" vertical="center" wrapText="1" indent="6"/>
    </xf>
    <xf numFmtId="4" fontId="5" fillId="10" borderId="6" xfId="0" applyNumberFormat="1" applyFont="1" applyFill="1" applyBorder="1" applyAlignment="1">
      <alignment horizontal="right" vertical="center" wrapText="1"/>
    </xf>
    <xf numFmtId="4" fontId="5" fillId="10" borderId="6" xfId="0" applyNumberFormat="1" applyFont="1" applyFill="1" applyBorder="1" applyAlignment="1">
      <alignment horizontal="right" vertical="center" wrapText="1"/>
    </xf>
    <xf numFmtId="4" fontId="5" fillId="10" borderId="6" xfId="0" applyNumberFormat="1" applyFont="1" applyFill="1" applyBorder="1" applyAlignment="1">
      <alignment horizontal="right" vertical="center" wrapText="1"/>
    </xf>
    <xf numFmtId="4" fontId="5" fillId="10" borderId="6" xfId="0" applyNumberFormat="1" applyFont="1" applyFill="1" applyBorder="1" applyAlignment="1">
      <alignment horizontal="right" vertical="center" wrapText="1"/>
    </xf>
    <xf numFmtId="4" fontId="30" fillId="10" borderId="6" xfId="0" applyNumberFormat="1" applyFont="1" applyFill="1" applyBorder="1" applyAlignment="1">
      <alignment horizontal="center" vertical="center" wrapText="1"/>
    </xf>
    <xf numFmtId="4" fontId="5" fillId="10" borderId="6" xfId="0" applyNumberFormat="1" applyFont="1" applyFill="1" applyBorder="1" applyAlignment="1">
      <alignment horizontal="right" vertical="center" wrapText="1"/>
    </xf>
    <xf numFmtId="4" fontId="5" fillId="10" borderId="6" xfId="0" applyNumberFormat="1" applyFont="1" applyFill="1" applyBorder="1" applyAlignment="1">
      <alignment horizontal="right" vertical="center" wrapText="1"/>
    </xf>
    <xf numFmtId="4" fontId="5" fillId="10" borderId="6" xfId="0" applyNumberFormat="1" applyFont="1" applyFill="1" applyBorder="1" applyAlignment="1">
      <alignment horizontal="right" vertical="center" wrapText="1"/>
    </xf>
    <xf numFmtId="4" fontId="5" fillId="10" borderId="6" xfId="0" applyNumberFormat="1" applyFont="1" applyFill="1" applyBorder="1" applyAlignment="1">
      <alignment horizontal="right" vertical="center" wrapText="1"/>
    </xf>
    <xf numFmtId="4" fontId="30" fillId="10" borderId="6" xfId="0" applyNumberFormat="1" applyFont="1" applyFill="1" applyBorder="1" applyAlignment="1">
      <alignment horizontal="center" vertical="center" wrapText="1"/>
    </xf>
    <xf numFmtId="4" fontId="5" fillId="10" borderId="6" xfId="0" applyNumberFormat="1" applyFont="1" applyFill="1" applyBorder="1" applyAlignment="1">
      <alignment horizontal="right" vertical="center" wrapText="1"/>
    </xf>
    <xf numFmtId="4" fontId="5" fillId="10" borderId="6" xfId="0" applyNumberFormat="1" applyFont="1" applyFill="1" applyBorder="1" applyAlignment="1">
      <alignment horizontal="right" vertical="center" wrapText="1"/>
    </xf>
    <xf numFmtId="4" fontId="5" fillId="10" borderId="6" xfId="0" applyNumberFormat="1" applyFont="1" applyFill="1" applyBorder="1" applyAlignment="1">
      <alignment horizontal="right" vertical="center" wrapText="1"/>
    </xf>
    <xf numFmtId="4" fontId="5" fillId="10" borderId="6" xfId="0" applyNumberFormat="1" applyFont="1" applyFill="1" applyBorder="1" applyAlignment="1">
      <alignment horizontal="right" vertical="center" wrapText="1"/>
    </xf>
    <xf numFmtId="4" fontId="30" fillId="10" borderId="6" xfId="0" applyNumberFormat="1" applyFont="1" applyFill="1" applyBorder="1" applyAlignment="1">
      <alignment horizontal="center" vertical="center" wrapText="1"/>
    </xf>
    <xf numFmtId="4" fontId="5" fillId="10" borderId="4" xfId="0" applyNumberFormat="1" applyFont="1" applyFill="1" applyBorder="1" applyAlignment="1">
      <alignment horizontal="right" vertical="center" wrapText="1"/>
    </xf>
    <xf numFmtId="49" fontId="0" fillId="0" borderId="0" xfId="0" applyNumberFormat="1" applyFont="1">
      <alignment vertical="top"/>
    </xf>
    <xf numFmtId="49" fontId="55" fillId="10" borderId="5" xfId="0" applyNumberFormat="1" applyFont="1" applyFill="1" applyBorder="1" applyAlignment="1">
      <alignment horizontal="left" vertical="center"/>
    </xf>
    <xf numFmtId="49" fontId="22" fillId="10" borderId="6" xfId="0" applyNumberFormat="1" applyFont="1" applyFill="1" applyBorder="1" applyAlignment="1">
      <alignment horizontal="left" vertical="center" indent="5"/>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18" xfId="0" applyNumberFormat="1" applyFont="1" applyFill="1" applyBorder="1" applyAlignment="1">
      <alignment horizontal="center" vertical="center" wrapText="1"/>
    </xf>
    <xf numFmtId="49" fontId="5" fillId="10" borderId="18" xfId="0" applyNumberFormat="1" applyFont="1" applyFill="1" applyBorder="1" applyAlignment="1">
      <alignment horizontal="center" vertical="center" wrapText="1"/>
    </xf>
    <xf numFmtId="49" fontId="5" fillId="10" borderId="18" xfId="0" applyNumberFormat="1" applyFont="1" applyFill="1" applyBorder="1" applyAlignment="1">
      <alignment horizontal="center" vertical="center" wrapText="1"/>
    </xf>
    <xf numFmtId="49" fontId="5" fillId="10" borderId="18"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18" xfId="0" applyNumberFormat="1" applyFont="1" applyFill="1" applyBorder="1" applyAlignment="1">
      <alignment horizontal="center" vertical="center" wrapText="1"/>
    </xf>
    <xf numFmtId="49" fontId="5" fillId="10" borderId="18" xfId="0" applyNumberFormat="1" applyFont="1" applyFill="1" applyBorder="1" applyAlignment="1">
      <alignment horizontal="center" vertical="center" wrapText="1"/>
    </xf>
    <xf numFmtId="49" fontId="5" fillId="10" borderId="18" xfId="0" applyNumberFormat="1" applyFont="1" applyFill="1" applyBorder="1" applyAlignment="1">
      <alignment horizontal="center" vertical="center" wrapText="1"/>
    </xf>
    <xf numFmtId="49" fontId="5" fillId="10" borderId="18" xfId="0" applyNumberFormat="1" applyFont="1" applyFill="1" applyBorder="1" applyAlignment="1">
      <alignment horizontal="center" vertical="center" wrapText="1"/>
    </xf>
    <xf numFmtId="49" fontId="5" fillId="10" borderId="4" xfId="0" applyNumberFormat="1" applyFont="1" applyFill="1" applyBorder="1" applyAlignment="1">
      <alignment horizontal="center" vertical="center" wrapText="1"/>
    </xf>
    <xf numFmtId="49" fontId="0" fillId="0" borderId="0" xfId="0" applyNumberFormat="1" applyFont="1">
      <alignment vertical="top"/>
    </xf>
    <xf numFmtId="49" fontId="55" fillId="10" borderId="5" xfId="0" applyNumberFormat="1" applyFont="1" applyFill="1" applyBorder="1" applyAlignment="1">
      <alignment horizontal="left" vertical="center"/>
    </xf>
    <xf numFmtId="49" fontId="22" fillId="10" borderId="6" xfId="0" applyNumberFormat="1" applyFont="1" applyFill="1" applyBorder="1" applyAlignment="1">
      <alignment horizontal="left" vertical="center" indent="4"/>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0" fillId="10" borderId="4" xfId="0" applyNumberFormat="1" applyFont="1" applyFill="1" applyBorder="1" applyAlignment="1">
      <alignment horizontal="center" vertical="center" wrapText="1"/>
    </xf>
    <xf numFmtId="49" fontId="0" fillId="0" borderId="0" xfId="0" applyNumberFormat="1" applyFont="1">
      <alignment vertical="top"/>
    </xf>
    <xf numFmtId="0" fontId="45" fillId="0" borderId="0" xfId="0" applyNumberFormat="1" applyFont="1" applyAlignment="1">
      <alignment vertical="center" wrapText="1"/>
    </xf>
    <xf numFmtId="0" fontId="45" fillId="0" borderId="0" xfId="0" applyNumberFormat="1" applyFont="1" applyAlignment="1">
      <alignment vertical="center" wrapText="1"/>
    </xf>
    <xf numFmtId="0" fontId="29" fillId="0" borderId="0" xfId="0" applyNumberFormat="1" applyFont="1" applyAlignment="1">
      <alignment horizontal="left" vertical="center"/>
    </xf>
    <xf numFmtId="49" fontId="73" fillId="0" borderId="0" xfId="0" applyNumberFormat="1" applyFont="1" applyAlignment="1">
      <alignment horizontal="center" vertical="center" wrapText="1"/>
    </xf>
    <xf numFmtId="0" fontId="36" fillId="0" borderId="0" xfId="0" applyNumberFormat="1" applyFont="1" applyAlignment="1">
      <alignment vertical="center" wrapText="1"/>
    </xf>
    <xf numFmtId="49" fontId="14" fillId="0" borderId="0" xfId="0" applyNumberFormat="1" applyFont="1" applyAlignment="1">
      <alignment horizontal="center" vertical="center" wrapText="1"/>
    </xf>
    <xf numFmtId="0" fontId="65" fillId="0" borderId="0" xfId="0" applyNumberFormat="1" applyFont="1" applyAlignment="1">
      <alignment vertical="center" wrapText="1"/>
    </xf>
    <xf numFmtId="49" fontId="29"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49" fontId="27" fillId="0" borderId="0" xfId="0" applyNumberFormat="1" applyFont="1" applyAlignment="1">
      <alignment vertical="center"/>
    </xf>
    <xf numFmtId="49" fontId="5" fillId="0" borderId="0" xfId="0" applyNumberFormat="1" applyFont="1" applyAlignment="1">
      <alignment horizontal="center" vertical="top" wrapText="1"/>
    </xf>
    <xf numFmtId="49" fontId="27" fillId="0" borderId="0" xfId="0" applyNumberFormat="1" applyFont="1" applyAlignment="1">
      <alignment horizontal="center" vertical="center" wrapText="1"/>
    </xf>
    <xf numFmtId="49" fontId="5" fillId="0" borderId="0" xfId="0" applyNumberFormat="1" applyFont="1" applyAlignment="1">
      <alignment vertical="center"/>
    </xf>
    <xf numFmtId="49" fontId="27" fillId="0" borderId="0" xfId="0" applyNumberFormat="1" applyFont="1" applyAlignment="1">
      <alignment vertical="center" wrapText="1"/>
    </xf>
    <xf numFmtId="49" fontId="81" fillId="0" borderId="0" xfId="0" applyNumberFormat="1" applyFont="1" applyAlignment="1">
      <alignment vertical="center" wrapText="1"/>
    </xf>
    <xf numFmtId="49" fontId="5" fillId="0" borderId="0" xfId="0" applyNumberFormat="1" applyFont="1">
      <alignment vertical="top"/>
    </xf>
    <xf numFmtId="49" fontId="5" fillId="0" borderId="0" xfId="0" applyNumberFormat="1" applyFont="1" applyAlignment="1">
      <alignment vertical="top" wrapText="1"/>
    </xf>
    <xf numFmtId="167" fontId="0" fillId="12" borderId="4" xfId="0" applyNumberFormat="1" applyFont="1" applyFill="1" applyBorder="1" applyAlignment="1" applyProtection="1">
      <alignment horizontal="left" vertical="center" wrapText="1"/>
      <protection locked="0"/>
    </xf>
    <xf numFmtId="49" fontId="9" fillId="12" borderId="3" xfId="0" applyNumberFormat="1" applyFont="1" applyFill="1" applyBorder="1" applyAlignment="1" applyProtection="1">
      <alignment horizontal="left" vertical="center" wrapText="1"/>
      <protection locked="0"/>
    </xf>
    <xf numFmtId="167" fontId="0" fillId="12" borderId="5" xfId="0" applyNumberFormat="1" applyFont="1" applyFill="1" applyBorder="1" applyAlignment="1" applyProtection="1">
      <alignment horizontal="left" vertical="center" wrapText="1"/>
      <protection locked="0"/>
    </xf>
    <xf numFmtId="49" fontId="5" fillId="0" borderId="0" xfId="0" applyNumberFormat="1" applyFont="1" applyAlignment="1">
      <alignment horizontal="center" vertical="top"/>
    </xf>
    <xf numFmtId="0" fontId="0" fillId="0" borderId="0" xfId="0" applyNumberFormat="1" applyFont="1">
      <alignment vertical="top"/>
    </xf>
    <xf numFmtId="49" fontId="0" fillId="0" borderId="0" xfId="0" applyNumberFormat="1" applyFont="1" applyAlignment="1">
      <alignment vertical="center" wrapText="1"/>
    </xf>
    <xf numFmtId="0" fontId="49" fillId="8" borderId="0" xfId="0" applyNumberFormat="1" applyFont="1" applyFill="1" applyAlignment="1"/>
    <xf numFmtId="0" fontId="24" fillId="0" borderId="0" xfId="0" applyNumberFormat="1" applyFont="1" applyAlignment="1">
      <alignment horizontal="center" vertical="center" wrapText="1"/>
    </xf>
    <xf numFmtId="49" fontId="19" fillId="0" borderId="0" xfId="0" applyNumberFormat="1" applyFont="1" applyAlignment="1">
      <alignment horizontal="center" vertical="center"/>
    </xf>
    <xf numFmtId="0" fontId="19" fillId="0" borderId="0" xfId="0" applyNumberFormat="1" applyFont="1" applyAlignment="1">
      <alignment horizontal="center" vertical="center"/>
    </xf>
    <xf numFmtId="0" fontId="5" fillId="0" borderId="0" xfId="0" applyNumberFormat="1" applyFont="1" applyAlignment="1"/>
    <xf numFmtId="49" fontId="0" fillId="11" borderId="0" xfId="0" applyNumberFormat="1" applyFont="1" applyFill="1">
      <alignment vertical="top"/>
    </xf>
    <xf numFmtId="0" fontId="0" fillId="12" borderId="3" xfId="0" applyNumberFormat="1" applyFont="1" applyFill="1" applyBorder="1" applyAlignment="1" applyProtection="1">
      <alignment horizontal="left" vertical="center" wrapText="1"/>
      <protection locked="0"/>
    </xf>
    <xf numFmtId="49" fontId="77" fillId="0" borderId="0" xfId="0" applyNumberFormat="1" applyFont="1" applyAlignment="1">
      <alignment vertical="top" wrapText="1"/>
    </xf>
    <xf numFmtId="49" fontId="77" fillId="0" borderId="0" xfId="0" applyNumberFormat="1" applyFont="1">
      <alignment vertical="top"/>
    </xf>
    <xf numFmtId="49" fontId="77" fillId="0" borderId="0" xfId="0" applyNumberFormat="1" applyFont="1" applyAlignment="1">
      <alignment horizontal="center" vertical="top" wrapText="1"/>
    </xf>
    <xf numFmtId="49" fontId="77" fillId="0" borderId="0" xfId="0" applyNumberFormat="1" applyFont="1" applyAlignment="1">
      <alignment horizontal="left" vertical="top" wrapText="1"/>
    </xf>
    <xf numFmtId="49" fontId="77" fillId="14" borderId="0" xfId="0" applyNumberFormat="1" applyFont="1" applyFill="1" applyAlignment="1">
      <alignment horizontal="left" vertical="top" wrapText="1"/>
    </xf>
    <xf numFmtId="0" fontId="77" fillId="0" borderId="0" xfId="0" applyNumberFormat="1" applyFont="1" applyAlignment="1">
      <alignment vertical="top" wrapText="1"/>
    </xf>
    <xf numFmtId="49" fontId="0" fillId="0" borderId="0" xfId="0" applyNumberFormat="1" applyFont="1">
      <alignment vertical="top"/>
    </xf>
    <xf numFmtId="49" fontId="0" fillId="8" borderId="0" xfId="0" applyNumberFormat="1" applyFont="1" applyFill="1">
      <alignment vertical="top"/>
    </xf>
    <xf numFmtId="49" fontId="0" fillId="8" borderId="0" xfId="0" applyNumberFormat="1" applyFont="1" applyFill="1">
      <alignment vertical="top"/>
    </xf>
    <xf numFmtId="0" fontId="1" fillId="0" borderId="0" xfId="0" applyNumberFormat="1" applyFont="1" applyAlignment="1"/>
    <xf numFmtId="0" fontId="84" fillId="0" borderId="0" xfId="0" applyNumberFormat="1" applyFont="1" applyAlignment="1">
      <alignment vertical="center" wrapText="1"/>
    </xf>
    <xf numFmtId="0" fontId="84" fillId="0" borderId="0" xfId="0" applyNumberFormat="1" applyFont="1" applyAlignment="1">
      <alignment vertical="center"/>
    </xf>
    <xf numFmtId="0" fontId="28" fillId="29" borderId="54" xfId="0" applyNumberFormat="1" applyFont="1" applyFill="1" applyBorder="1" applyAlignment="1">
      <alignment horizontal="center" vertical="center" wrapText="1"/>
    </xf>
    <xf numFmtId="0" fontId="28" fillId="29" borderId="55" xfId="0" applyNumberFormat="1" applyFont="1" applyFill="1" applyBorder="1" applyAlignment="1">
      <alignment horizontal="center" vertical="center" wrapText="1"/>
    </xf>
    <xf numFmtId="0" fontId="28" fillId="29" borderId="56" xfId="0" applyNumberFormat="1" applyFont="1" applyFill="1" applyBorder="1" applyAlignment="1">
      <alignment horizontal="center" vertical="center" wrapText="1"/>
    </xf>
    <xf numFmtId="0" fontId="28" fillId="19" borderId="29" xfId="0" applyNumberFormat="1" applyFont="1" applyFill="1" applyBorder="1" applyAlignment="1">
      <alignment horizontal="right" vertical="center" wrapText="1" indent="1"/>
    </xf>
    <xf numFmtId="0" fontId="28" fillId="19" borderId="57" xfId="0" applyNumberFormat="1" applyFont="1" applyFill="1" applyBorder="1" applyAlignment="1">
      <alignment horizontal="right" vertical="center" wrapText="1" indent="1"/>
    </xf>
    <xf numFmtId="0" fontId="28" fillId="19" borderId="0" xfId="0" applyNumberFormat="1" applyFont="1" applyFill="1" applyAlignment="1">
      <alignment horizontal="right" vertical="center" wrapText="1" indent="1"/>
    </xf>
    <xf numFmtId="0" fontId="102" fillId="0" borderId="29" xfId="0" applyNumberFormat="1" applyFont="1" applyBorder="1" applyAlignment="1">
      <alignment vertical="center" wrapText="1"/>
    </xf>
    <xf numFmtId="0" fontId="102" fillId="0" borderId="0" xfId="0" applyNumberFormat="1" applyFont="1" applyAlignment="1">
      <alignment vertical="center" wrapText="1"/>
    </xf>
    <xf numFmtId="0" fontId="102" fillId="0" borderId="29" xfId="0" applyNumberFormat="1" applyFont="1" applyBorder="1" applyAlignment="1">
      <alignment horizontal="left" vertical="center" wrapText="1"/>
    </xf>
    <xf numFmtId="0" fontId="102" fillId="0" borderId="0" xfId="0" applyNumberFormat="1" applyFont="1" applyAlignment="1">
      <alignment horizontal="left" vertical="center" wrapText="1"/>
    </xf>
    <xf numFmtId="0" fontId="28" fillId="19" borderId="51" xfId="0" applyNumberFormat="1" applyFont="1" applyFill="1" applyBorder="1" applyAlignment="1">
      <alignment horizontal="right" vertical="center" wrapText="1" indent="1"/>
    </xf>
    <xf numFmtId="0" fontId="28" fillId="19" borderId="58" xfId="0" applyNumberFormat="1" applyFont="1" applyFill="1" applyBorder="1" applyAlignment="1">
      <alignment horizontal="right" vertical="center" wrapText="1" indent="1"/>
    </xf>
    <xf numFmtId="0" fontId="28" fillId="19" borderId="53" xfId="0" applyNumberFormat="1" applyFont="1" applyFill="1" applyBorder="1" applyAlignment="1">
      <alignment horizontal="right" vertical="center" wrapText="1" indent="1"/>
    </xf>
    <xf numFmtId="0" fontId="28" fillId="19" borderId="30" xfId="0" applyNumberFormat="1" applyFont="1" applyFill="1" applyBorder="1" applyAlignment="1">
      <alignment horizontal="right" vertical="center" wrapText="1" indent="1"/>
    </xf>
    <xf numFmtId="0" fontId="102" fillId="0" borderId="0" xfId="0" applyNumberFormat="1" applyFont="1" applyAlignment="1">
      <alignment vertical="top" wrapText="1"/>
    </xf>
    <xf numFmtId="49" fontId="48" fillId="0" borderId="0" xfId="0" applyNumberFormat="1" applyFont="1" applyAlignment="1">
      <alignment vertical="top" wrapText="1"/>
    </xf>
    <xf numFmtId="0" fontId="5" fillId="0" borderId="4"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78" fillId="0" borderId="0" xfId="0" applyNumberFormat="1" applyFont="1" applyAlignment="1">
      <alignment horizontal="left" vertical="center" wrapText="1"/>
    </xf>
    <xf numFmtId="14" fontId="7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6" xfId="0" applyNumberFormat="1" applyFont="1" applyBorder="1" applyAlignment="1">
      <alignment horizontal="left" vertical="center" wrapText="1" indent="1"/>
    </xf>
    <xf numFmtId="0" fontId="5" fillId="0" borderId="6"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1"/>
    </xf>
    <xf numFmtId="0" fontId="5" fillId="13" borderId="14"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2"/>
    </xf>
    <xf numFmtId="0" fontId="5" fillId="13" borderId="27" xfId="0" applyNumberFormat="1" applyFont="1" applyFill="1" applyBorder="1" applyAlignment="1">
      <alignment horizontal="left" vertical="center" wrapText="1" indent="2"/>
    </xf>
    <xf numFmtId="0" fontId="5" fillId="13" borderId="14" xfId="0" applyNumberFormat="1" applyFont="1" applyFill="1" applyBorder="1" applyAlignment="1">
      <alignment horizontal="left" vertical="center" wrapText="1" indent="2"/>
    </xf>
    <xf numFmtId="49" fontId="5" fillId="13" borderId="14" xfId="0" applyNumberFormat="1" applyFont="1" applyFill="1" applyBorder="1" applyAlignment="1">
      <alignment horizontal="center" vertical="center" wrapText="1"/>
    </xf>
    <xf numFmtId="14" fontId="63" fillId="0" borderId="59" xfId="0" applyNumberFormat="1" applyFont="1" applyBorder="1" applyAlignment="1">
      <alignment horizontal="center" vertical="center" wrapText="1"/>
    </xf>
    <xf numFmtId="0" fontId="5" fillId="0" borderId="59" xfId="0" applyNumberFormat="1" applyFont="1" applyBorder="1" applyAlignment="1">
      <alignment horizontal="center" vertical="center" wrapText="1"/>
    </xf>
    <xf numFmtId="49" fontId="18" fillId="0" borderId="60" xfId="0" applyNumberFormat="1" applyFont="1" applyBorder="1" applyAlignment="1">
      <alignment horizontal="center" vertical="center" wrapText="1"/>
    </xf>
    <xf numFmtId="49" fontId="18" fillId="0" borderId="61" xfId="0" applyNumberFormat="1" applyFont="1" applyBorder="1" applyAlignment="1">
      <alignment horizontal="center" vertical="center" wrapText="1"/>
    </xf>
    <xf numFmtId="49" fontId="18" fillId="0" borderId="5" xfId="0" applyNumberFormat="1" applyFont="1" applyBorder="1" applyAlignment="1">
      <alignment horizontal="center" vertical="center" wrapText="1"/>
    </xf>
    <xf numFmtId="49" fontId="18" fillId="0" borderId="4" xfId="0" applyNumberFormat="1" applyFont="1" applyBorder="1" applyAlignment="1">
      <alignment horizontal="center" vertical="center" wrapText="1"/>
    </xf>
    <xf numFmtId="0" fontId="5" fillId="0" borderId="11" xfId="0" applyNumberFormat="1" applyFont="1" applyBorder="1" applyAlignment="1">
      <alignment horizontal="left" vertical="center" wrapText="1" indent="1"/>
    </xf>
    <xf numFmtId="0" fontId="5" fillId="0" borderId="8" xfId="0" applyNumberFormat="1" applyFont="1" applyBorder="1" applyAlignment="1">
      <alignment horizontal="left" vertical="center" wrapText="1" indent="1"/>
    </xf>
    <xf numFmtId="0" fontId="5" fillId="0" borderId="28" xfId="0" applyNumberFormat="1" applyFont="1" applyBorder="1" applyAlignment="1">
      <alignment horizontal="left" vertical="center" wrapText="1" indent="1"/>
    </xf>
    <xf numFmtId="0" fontId="5" fillId="0" borderId="20" xfId="0" applyNumberFormat="1" applyFont="1" applyBorder="1" applyAlignment="1">
      <alignment horizontal="left" vertical="center" indent="1"/>
    </xf>
    <xf numFmtId="0" fontId="5" fillId="0" borderId="14" xfId="0" applyNumberFormat="1" applyFont="1" applyBorder="1" applyAlignment="1">
      <alignment horizontal="left" vertical="center" indent="1"/>
    </xf>
    <xf numFmtId="0" fontId="5" fillId="0" borderId="21" xfId="0" applyNumberFormat="1" applyFont="1" applyBorder="1" applyAlignment="1">
      <alignment horizontal="left" vertical="center" indent="1"/>
    </xf>
    <xf numFmtId="0" fontId="5" fillId="15"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7" fillId="0" borderId="28" xfId="0" applyNumberFormat="1" applyFont="1" applyBorder="1" applyAlignment="1">
      <alignment horizontal="center" vertical="center" wrapText="1"/>
    </xf>
    <xf numFmtId="0" fontId="57" fillId="0" borderId="10" xfId="0" applyNumberFormat="1" applyFont="1" applyBorder="1" applyAlignment="1">
      <alignment horizontal="center" vertical="center" wrapText="1"/>
    </xf>
    <xf numFmtId="0" fontId="0" fillId="0" borderId="0" xfId="0" applyNumberFormat="1" applyFont="1" applyAlignment="1">
      <alignment horizontal="left" vertical="center" wrapText="1" indent="2"/>
    </xf>
    <xf numFmtId="0" fontId="0" fillId="0" borderId="0" xfId="0" applyNumberFormat="1" applyFont="1" applyAlignment="1">
      <alignment horizontal="left" vertical="center" indent="2"/>
    </xf>
    <xf numFmtId="0" fontId="57" fillId="0" borderId="3" xfId="0" applyNumberFormat="1" applyFont="1" applyBorder="1" applyAlignment="1">
      <alignment horizontal="center" vertical="center" wrapText="1"/>
    </xf>
    <xf numFmtId="0" fontId="5" fillId="0" borderId="62" xfId="0" applyNumberFormat="1" applyFont="1" applyBorder="1" applyAlignment="1">
      <alignment horizontal="center" vertical="center" wrapText="1"/>
    </xf>
    <xf numFmtId="0" fontId="5" fillId="0" borderId="63" xfId="0" applyNumberFormat="1" applyFont="1" applyBorder="1" applyAlignment="1">
      <alignment horizontal="center" vertical="center" wrapText="1"/>
    </xf>
    <xf numFmtId="49" fontId="0" fillId="0" borderId="3" xfId="0" applyNumberFormat="1" applyFont="1" applyBorder="1">
      <alignment vertical="top"/>
    </xf>
    <xf numFmtId="0" fontId="0" fillId="13" borderId="3" xfId="0" applyNumberFormat="1" applyFont="1" applyFill="1" applyBorder="1" applyAlignment="1">
      <alignment horizontal="left" vertical="center" wrapText="1"/>
    </xf>
    <xf numFmtId="49" fontId="0" fillId="13" borderId="3" xfId="0" applyNumberFormat="1" applyFont="1" applyFill="1" applyBorder="1" applyAlignment="1">
      <alignment horizontal="left" vertical="center" wrapText="1"/>
    </xf>
    <xf numFmtId="49" fontId="5" fillId="13" borderId="8" xfId="0" applyNumberFormat="1" applyFont="1" applyFill="1" applyBorder="1" applyAlignment="1">
      <alignment horizontal="center" vertical="center" wrapText="1"/>
    </xf>
    <xf numFmtId="49" fontId="5" fillId="13" borderId="27" xfId="0" applyNumberFormat="1" applyFont="1" applyFill="1" applyBorder="1" applyAlignment="1">
      <alignment horizontal="center" vertical="center" wrapText="1"/>
    </xf>
    <xf numFmtId="49" fontId="0" fillId="8" borderId="3" xfId="0" applyNumberFormat="1" applyFont="1" applyFill="1" applyBorder="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top"/>
      <protection locked="0"/>
    </xf>
    <xf numFmtId="49" fontId="0" fillId="9" borderId="27" xfId="0" applyNumberFormat="1" applyFont="1" applyFill="1" applyBorder="1" applyAlignment="1" applyProtection="1">
      <alignment horizontal="left" vertical="top"/>
      <protection locked="0"/>
    </xf>
    <xf numFmtId="0" fontId="0" fillId="0" borderId="3" xfId="0" applyNumberFormat="1" applyFont="1" applyBorder="1" applyAlignment="1">
      <alignment horizontal="center" vertical="center"/>
    </xf>
    <xf numFmtId="49" fontId="0" fillId="0" borderId="27" xfId="0" applyNumberFormat="1" applyFont="1" applyBorder="1">
      <alignment vertical="top"/>
    </xf>
    <xf numFmtId="49" fontId="5" fillId="13" borderId="0" xfId="0" applyNumberFormat="1" applyFont="1" applyFill="1" applyAlignment="1">
      <alignment horizontal="center" vertical="center" wrapText="1"/>
    </xf>
    <xf numFmtId="0" fontId="0" fillId="0" borderId="3" xfId="0" applyNumberFormat="1" applyFont="1" applyBorder="1" applyAlignment="1">
      <alignment horizontal="center" vertical="top"/>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0" fillId="0" borderId="10" xfId="0" applyNumberFormat="1" applyFont="1" applyBorder="1" applyAlignment="1">
      <alignment horizontal="left" vertical="center" wrapText="1"/>
    </xf>
    <xf numFmtId="0" fontId="0" fillId="0" borderId="0" xfId="0" applyNumberFormat="1" applyFont="1" applyAlignment="1">
      <alignment horizontal="left" vertical="center" wrapText="1"/>
    </xf>
    <xf numFmtId="49" fontId="0" fillId="0" borderId="0" xfId="0" applyNumberFormat="1" applyFont="1" applyAlignment="1">
      <alignment horizontal="left" vertical="center" wrapText="1"/>
    </xf>
    <xf numFmtId="49" fontId="0" fillId="0" borderId="10" xfId="0" applyNumberFormat="1" applyFont="1" applyBorder="1" applyAlignment="1">
      <alignment horizontal="left" vertical="center" wrapText="1"/>
    </xf>
    <xf numFmtId="0" fontId="5" fillId="0" borderId="3" xfId="0" applyNumberFormat="1" applyFont="1" applyBorder="1" applyAlignment="1">
      <alignment horizontal="left" vertical="top" wrapText="1"/>
    </xf>
    <xf numFmtId="49" fontId="0" fillId="0" borderId="3" xfId="0" applyNumberFormat="1" applyFont="1" applyBorder="1" applyAlignment="1">
      <alignment horizontal="left" vertical="top"/>
    </xf>
    <xf numFmtId="0" fontId="5" fillId="13" borderId="8" xfId="0" applyNumberFormat="1" applyFont="1" applyFill="1" applyBorder="1" applyAlignment="1">
      <alignment horizontal="center" vertical="top" wrapText="1"/>
    </xf>
    <xf numFmtId="0" fontId="5" fillId="13" borderId="27" xfId="0" applyNumberFormat="1" applyFont="1" applyFill="1" applyBorder="1" applyAlignment="1">
      <alignment horizontal="center" vertical="top" wrapText="1"/>
    </xf>
    <xf numFmtId="0" fontId="5" fillId="13" borderId="14" xfId="0" applyNumberFormat="1" applyFont="1" applyFill="1" applyBorder="1" applyAlignment="1">
      <alignment horizontal="center" vertical="top" wrapText="1"/>
    </xf>
    <xf numFmtId="0" fontId="0" fillId="0" borderId="28" xfId="0" applyNumberFormat="1" applyFont="1" applyBorder="1" applyAlignment="1">
      <alignment horizontal="center" vertical="center"/>
    </xf>
    <xf numFmtId="0" fontId="0" fillId="0" borderId="13" xfId="0" applyNumberFormat="1" applyFont="1" applyBorder="1" applyAlignment="1">
      <alignment horizontal="center" vertical="center"/>
    </xf>
    <xf numFmtId="0" fontId="0" fillId="0" borderId="10" xfId="0" applyNumberFormat="1" applyFont="1" applyBorder="1" applyAlignment="1">
      <alignment horizontal="center" vertical="center"/>
    </xf>
    <xf numFmtId="0" fontId="0" fillId="0" borderId="0" xfId="0" applyNumberFormat="1" applyFont="1" applyAlignment="1">
      <alignment horizontal="center"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0" fillId="0" borderId="0" xfId="0" applyNumberFormat="1" applyFont="1" applyAlignment="1">
      <alignment horizontal="left" vertical="top"/>
    </xf>
    <xf numFmtId="0" fontId="0" fillId="0" borderId="3" xfId="0" applyNumberFormat="1" applyFont="1" applyBorder="1" applyAlignment="1">
      <alignment horizontal="center" vertical="center" wrapText="1"/>
    </xf>
    <xf numFmtId="49" fontId="30" fillId="8" borderId="18" xfId="0" applyNumberFormat="1" applyFont="1" applyFill="1" applyBorder="1" applyAlignment="1">
      <alignment horizontal="center" vertical="center" wrapText="1"/>
    </xf>
    <xf numFmtId="0" fontId="5" fillId="13" borderId="3" xfId="0" applyNumberFormat="1" applyFont="1" applyFill="1" applyBorder="1" applyAlignment="1">
      <alignment horizontal="left" vertical="top" wrapText="1"/>
    </xf>
    <xf numFmtId="49" fontId="0" fillId="13" borderId="3" xfId="0" applyNumberFormat="1" applyFont="1" applyFill="1" applyBorder="1" applyAlignment="1">
      <alignment horizontal="left" vertical="top"/>
    </xf>
    <xf numFmtId="49" fontId="0" fillId="13" borderId="27" xfId="0" applyNumberFormat="1" applyFont="1" applyFill="1" applyBorder="1" applyAlignment="1">
      <alignment horizontal="left" vertical="top"/>
    </xf>
    <xf numFmtId="0" fontId="5" fillId="0" borderId="11" xfId="0" applyNumberFormat="1" applyFont="1" applyBorder="1" applyAlignment="1">
      <alignment horizontal="left" vertical="top" wrapText="1" indent="1"/>
    </xf>
    <xf numFmtId="0" fontId="5" fillId="0" borderId="8" xfId="0" applyNumberFormat="1" applyFont="1" applyBorder="1" applyAlignment="1">
      <alignment horizontal="left" vertical="top" wrapText="1" indent="1"/>
    </xf>
    <xf numFmtId="0" fontId="5" fillId="0" borderId="28" xfId="0" applyNumberFormat="1" applyFont="1" applyBorder="1" applyAlignment="1">
      <alignment horizontal="left" vertical="top" wrapText="1" indent="1"/>
    </xf>
    <xf numFmtId="0" fontId="54" fillId="0" borderId="15" xfId="0" applyNumberFormat="1" applyFont="1" applyBorder="1" applyAlignment="1">
      <alignment horizontal="left" vertical="center" wrapText="1" indent="1"/>
    </xf>
    <xf numFmtId="0" fontId="54" fillId="0" borderId="27" xfId="0" applyNumberFormat="1" applyFont="1" applyBorder="1" applyAlignment="1">
      <alignment horizontal="left" vertical="center" wrapText="1" indent="1"/>
    </xf>
    <xf numFmtId="0" fontId="54" fillId="0" borderId="13" xfId="0" applyNumberFormat="1" applyFont="1" applyBorder="1" applyAlignment="1">
      <alignment horizontal="left" vertical="center" wrapText="1" indent="1"/>
    </xf>
    <xf numFmtId="0" fontId="5" fillId="0" borderId="18" xfId="0" applyNumberFormat="1" applyFont="1" applyBorder="1" applyAlignment="1">
      <alignment horizontal="left" vertical="center" indent="1"/>
    </xf>
    <xf numFmtId="0" fontId="5" fillId="12" borderId="3" xfId="0" applyNumberFormat="1" applyFont="1" applyFill="1" applyBorder="1" applyAlignment="1" applyProtection="1">
      <alignment horizontal="left" vertical="top" wrapText="1"/>
      <protection locked="0"/>
    </xf>
    <xf numFmtId="0" fontId="0" fillId="12" borderId="3" xfId="0" applyNumberFormat="1" applyFont="1" applyFill="1" applyBorder="1" applyAlignment="1" applyProtection="1">
      <alignment horizontal="left" vertical="top"/>
      <protection locked="0"/>
    </xf>
    <xf numFmtId="49" fontId="0" fillId="0" borderId="27" xfId="0" applyNumberFormat="1" applyFont="1" applyBorder="1" applyAlignment="1">
      <alignment horizontal="left" vertical="top"/>
    </xf>
    <xf numFmtId="0" fontId="0" fillId="0" borderId="8" xfId="0" applyNumberFormat="1" applyFont="1" applyBorder="1" applyAlignment="1">
      <alignment horizontal="center" vertical="top"/>
    </xf>
    <xf numFmtId="0" fontId="0" fillId="0" borderId="27" xfId="0" applyNumberFormat="1" applyFont="1" applyBorder="1" applyAlignment="1">
      <alignment horizontal="center" vertical="top"/>
    </xf>
    <xf numFmtId="0" fontId="0" fillId="0" borderId="14" xfId="0" applyNumberFormat="1" applyFont="1" applyBorder="1" applyAlignment="1">
      <alignment horizontal="center" vertical="top"/>
    </xf>
    <xf numFmtId="0" fontId="5" fillId="0" borderId="8" xfId="0" applyNumberFormat="1" applyFont="1" applyBorder="1" applyAlignment="1">
      <alignment horizontal="left" vertical="top" wrapText="1"/>
    </xf>
    <xf numFmtId="0" fontId="5" fillId="0" borderId="27" xfId="0" applyNumberFormat="1" applyFont="1" applyBorder="1" applyAlignment="1">
      <alignment horizontal="left" vertical="top" wrapText="1"/>
    </xf>
    <xf numFmtId="0" fontId="5" fillId="0" borderId="14" xfId="0" applyNumberFormat="1" applyFont="1" applyBorder="1" applyAlignment="1">
      <alignment horizontal="left" vertical="top" wrapText="1"/>
    </xf>
    <xf numFmtId="0" fontId="0" fillId="0" borderId="0" xfId="0" quotePrefix="1" applyNumberFormat="1" applyFont="1" applyAlignment="1">
      <alignment horizontal="left" vertical="top" wrapText="1" indent="1"/>
    </xf>
    <xf numFmtId="0" fontId="0" fillId="0" borderId="0" xfId="0" applyNumberFormat="1" applyFont="1" applyAlignment="1">
      <alignment horizontal="left" vertical="top" wrapText="1" indent="1"/>
    </xf>
    <xf numFmtId="0" fontId="0" fillId="0" borderId="0" xfId="0" applyNumberFormat="1" applyFont="1" applyAlignment="1">
      <alignment horizontal="left" vertical="top" wrapText="1"/>
    </xf>
    <xf numFmtId="0" fontId="5" fillId="0" borderId="8" xfId="0" applyNumberFormat="1" applyFont="1" applyBorder="1" applyAlignment="1">
      <alignment horizontal="center" vertical="center" wrapText="1"/>
    </xf>
    <xf numFmtId="0" fontId="5" fillId="0" borderId="18" xfId="0" applyNumberFormat="1" applyFont="1" applyBorder="1" applyAlignment="1">
      <alignment horizontal="left" vertical="center" wrapText="1" indent="1"/>
    </xf>
    <xf numFmtId="0" fontId="22" fillId="0" borderId="0" xfId="0" applyNumberFormat="1" applyFont="1" applyAlignment="1">
      <alignment horizontal="left" vertical="center"/>
    </xf>
    <xf numFmtId="0" fontId="22" fillId="0" borderId="15" xfId="0" applyNumberFormat="1" applyFont="1" applyBorder="1" applyAlignment="1">
      <alignment horizontal="left" vertical="center"/>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left" vertical="center" wrapText="1"/>
    </xf>
    <xf numFmtId="0" fontId="5" fillId="0" borderId="10" xfId="0" applyNumberFormat="1" applyFont="1" applyBorder="1" applyAlignment="1">
      <alignment horizontal="center" vertical="center"/>
    </xf>
    <xf numFmtId="0" fontId="5" fillId="0" borderId="0" xfId="0" applyNumberFormat="1" applyFont="1" applyAlignment="1">
      <alignment horizontal="center" vertical="center"/>
    </xf>
    <xf numFmtId="49" fontId="5" fillId="0" borderId="3" xfId="0" applyNumberFormat="1" applyFont="1" applyBorder="1" applyAlignment="1">
      <alignment horizontal="center" vertical="center"/>
    </xf>
    <xf numFmtId="0" fontId="5" fillId="0" borderId="5" xfId="0" applyNumberFormat="1" applyFont="1" applyBorder="1" applyAlignment="1">
      <alignment horizontal="left" vertical="center" wrapText="1"/>
    </xf>
    <xf numFmtId="0" fontId="22" fillId="0" borderId="18" xfId="0" applyNumberFormat="1" applyFont="1" applyBorder="1" applyAlignment="1">
      <alignment horizontal="left" vertical="center"/>
    </xf>
    <xf numFmtId="0" fontId="22" fillId="0" borderId="20" xfId="0" applyNumberFormat="1" applyFont="1" applyBorder="1" applyAlignment="1">
      <alignment horizontal="left"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left" vertical="center" wrapText="1"/>
    </xf>
    <xf numFmtId="0" fontId="5" fillId="0" borderId="10" xfId="0" applyNumberFormat="1" applyFont="1" applyBorder="1" applyAlignment="1">
      <alignment horizontal="left" vertical="center" wrapText="1" indent="1"/>
    </xf>
    <xf numFmtId="0" fontId="5" fillId="0" borderId="28"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0" fontId="5" fillId="0" borderId="15" xfId="0" applyNumberFormat="1" applyFont="1" applyBorder="1" applyAlignment="1">
      <alignment horizontal="center" vertical="center" wrapText="1"/>
    </xf>
    <xf numFmtId="0" fontId="5" fillId="0" borderId="27" xfId="0" applyNumberFormat="1" applyFont="1" applyBorder="1" applyAlignment="1">
      <alignment horizontal="center" vertical="center" wrapText="1"/>
    </xf>
    <xf numFmtId="0" fontId="5" fillId="0" borderId="21" xfId="0" applyNumberFormat="1" applyFont="1" applyBorder="1" applyAlignment="1">
      <alignment horizontal="center" vertical="center" wrapText="1"/>
    </xf>
    <xf numFmtId="0" fontId="5" fillId="0" borderId="20" xfId="0" applyNumberFormat="1" applyFont="1" applyBorder="1" applyAlignment="1">
      <alignment horizontal="center" vertical="center" wrapText="1"/>
    </xf>
    <xf numFmtId="49" fontId="5" fillId="8" borderId="0" xfId="0" applyNumberFormat="1" applyFont="1" applyFill="1" applyAlignment="1">
      <alignment horizontal="center" vertical="center" wrapText="1"/>
    </xf>
    <xf numFmtId="0" fontId="27" fillId="0" borderId="0" xfId="0" applyNumberFormat="1" applyFont="1" applyAlignment="1">
      <alignment horizontal="right" vertical="top" wrapText="1"/>
    </xf>
    <xf numFmtId="49" fontId="0" fillId="8" borderId="3" xfId="0" applyNumberFormat="1" applyFont="1" applyFill="1" applyBorder="1" applyAlignment="1">
      <alignment horizontal="center" vertical="center" wrapText="1"/>
    </xf>
    <xf numFmtId="49" fontId="5" fillId="8" borderId="3" xfId="0" applyNumberFormat="1" applyFont="1" applyFill="1" applyBorder="1" applyAlignment="1">
      <alignment horizontal="center" vertical="center" wrapText="1"/>
    </xf>
    <xf numFmtId="0" fontId="27" fillId="0" borderId="0" xfId="0" applyNumberFormat="1" applyFont="1" applyAlignment="1">
      <alignment horizontal="left" vertical="top" wrapText="1" indent="1"/>
    </xf>
    <xf numFmtId="0" fontId="75" fillId="8" borderId="0" xfId="0" applyNumberFormat="1" applyFont="1" applyFill="1" applyAlignment="1">
      <alignment horizontal="left" vertical="center" wrapText="1"/>
    </xf>
    <xf numFmtId="0"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top" wrapText="1"/>
    </xf>
    <xf numFmtId="0" fontId="5" fillId="8" borderId="27" xfId="0" applyNumberFormat="1" applyFont="1" applyFill="1" applyBorder="1" applyAlignment="1">
      <alignment horizontal="left" vertical="top" wrapText="1"/>
    </xf>
    <xf numFmtId="0" fontId="5" fillId="8" borderId="14" xfId="0" applyNumberFormat="1" applyFont="1" applyFill="1" applyBorder="1" applyAlignment="1">
      <alignment horizontal="left" vertical="top" wrapText="1"/>
    </xf>
    <xf numFmtId="0" fontId="5" fillId="8" borderId="15" xfId="0" applyNumberFormat="1" applyFont="1" applyFill="1" applyBorder="1" applyAlignment="1">
      <alignment horizontal="center" vertical="center" wrapText="1"/>
    </xf>
    <xf numFmtId="0" fontId="5" fillId="0" borderId="20" xfId="0" applyNumberFormat="1" applyFont="1" applyBorder="1" applyAlignment="1">
      <alignment horizontal="left" vertical="center" wrapText="1" indent="1"/>
    </xf>
    <xf numFmtId="0" fontId="5" fillId="0" borderId="14" xfId="0" applyNumberFormat="1" applyFont="1" applyBorder="1" applyAlignment="1">
      <alignment horizontal="left" vertical="center" wrapText="1" indent="1"/>
    </xf>
    <xf numFmtId="0" fontId="5" fillId="0" borderId="21" xfId="0" applyNumberFormat="1" applyFont="1" applyBorder="1" applyAlignment="1">
      <alignment horizontal="left" vertical="center" wrapText="1" indent="1"/>
    </xf>
    <xf numFmtId="0" fontId="0" fillId="0" borderId="5" xfId="0" applyNumberFormat="1" applyFont="1" applyBorder="1" applyAlignment="1">
      <alignment horizontal="center" vertical="center" wrapText="1"/>
    </xf>
    <xf numFmtId="0" fontId="0" fillId="0" borderId="6"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0" fontId="0" fillId="0" borderId="8" xfId="0" applyNumberFormat="1" applyFont="1" applyBorder="1" applyAlignment="1">
      <alignment horizontal="left" vertical="top" wrapText="1"/>
    </xf>
    <xf numFmtId="0" fontId="0" fillId="0" borderId="14" xfId="0" applyNumberFormat="1" applyFont="1" applyBorder="1" applyAlignment="1">
      <alignment horizontal="left" vertical="top"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28" xfId="0" applyNumberFormat="1" applyFont="1" applyBorder="1" applyAlignment="1">
      <alignment horizontal="center" vertical="center" wrapText="1"/>
    </xf>
    <xf numFmtId="0" fontId="0" fillId="0" borderId="21" xfId="0" applyNumberFormat="1" applyFont="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49" fontId="0" fillId="0" borderId="28"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0" fontId="5" fillId="13" borderId="10" xfId="0" applyNumberFormat="1" applyFont="1" applyFill="1" applyBorder="1" applyAlignment="1">
      <alignment horizontal="left" vertical="center" wrapText="1"/>
    </xf>
    <xf numFmtId="0" fontId="5" fillId="13" borderId="18" xfId="0" applyNumberFormat="1" applyFont="1" applyFill="1" applyBorder="1" applyAlignment="1">
      <alignment horizontal="left" vertical="center" wrapText="1"/>
    </xf>
    <xf numFmtId="0" fontId="5" fillId="0" borderId="10" xfId="0" applyNumberFormat="1" applyFont="1" applyBorder="1" applyAlignment="1">
      <alignment horizontal="left" vertical="top" wrapText="1" indent="1"/>
    </xf>
    <xf numFmtId="0" fontId="0" fillId="0" borderId="27" xfId="0" applyNumberFormat="1" applyFont="1" applyBorder="1" applyAlignment="1">
      <alignment horizontal="left" vertical="top" wrapText="1"/>
    </xf>
    <xf numFmtId="0" fontId="5" fillId="7" borderId="5" xfId="0" applyNumberFormat="1" applyFont="1" applyFill="1" applyBorder="1" applyAlignment="1">
      <alignment horizontal="left" vertical="center" wrapText="1"/>
    </xf>
    <xf numFmtId="0" fontId="5" fillId="7" borderId="6" xfId="0" applyNumberFormat="1" applyFont="1" applyFill="1" applyBorder="1" applyAlignment="1">
      <alignment horizontal="left" vertical="center" wrapText="1"/>
    </xf>
    <xf numFmtId="0" fontId="5" fillId="7" borderId="4" xfId="0" applyNumberFormat="1" applyFont="1" applyFill="1" applyBorder="1" applyAlignment="1">
      <alignment horizontal="left" vertical="center" wrapText="1"/>
    </xf>
    <xf numFmtId="0" fontId="5" fillId="13" borderId="5" xfId="0" applyNumberFormat="1" applyFont="1" applyFill="1" applyBorder="1" applyAlignment="1">
      <alignment horizontal="left" vertical="center" wrapText="1"/>
    </xf>
    <xf numFmtId="0" fontId="5" fillId="13" borderId="6" xfId="0" applyNumberFormat="1" applyFont="1" applyFill="1" applyBorder="1" applyAlignment="1">
      <alignment horizontal="left" vertical="center" wrapText="1"/>
    </xf>
    <xf numFmtId="0" fontId="5" fillId="13" borderId="4" xfId="0" applyNumberFormat="1" applyFont="1" applyFill="1" applyBorder="1" applyAlignment="1">
      <alignment horizontal="left" vertical="center" wrapText="1"/>
    </xf>
    <xf numFmtId="0" fontId="0" fillId="8" borderId="3" xfId="0" applyNumberFormat="1" applyFont="1" applyFill="1" applyBorder="1" applyAlignment="1">
      <alignment horizontal="right" vertical="center" wrapText="1" indent="1"/>
    </xf>
    <xf numFmtId="0" fontId="5" fillId="7" borderId="3" xfId="0" applyNumberFormat="1" applyFont="1" applyFill="1" applyBorder="1" applyAlignment="1">
      <alignment horizontal="left" vertical="center" wrapText="1" indent="1"/>
    </xf>
    <xf numFmtId="0" fontId="19" fillId="0" borderId="18" xfId="0" applyNumberFormat="1" applyFont="1" applyBorder="1" applyAlignment="1">
      <alignment horizontal="center" vertical="center" wrapText="1"/>
    </xf>
    <xf numFmtId="0" fontId="27" fillId="0" borderId="8" xfId="0" applyNumberFormat="1" applyFont="1" applyBorder="1" applyAlignment="1">
      <alignment horizontal="left" vertical="top" wrapText="1"/>
    </xf>
    <xf numFmtId="0" fontId="27" fillId="0" borderId="27" xfId="0" applyNumberFormat="1" applyFont="1" applyBorder="1" applyAlignment="1">
      <alignment horizontal="left" vertical="top" wrapText="1"/>
    </xf>
    <xf numFmtId="0" fontId="27" fillId="0" borderId="14" xfId="0" applyNumberFormat="1" applyFont="1" applyBorder="1" applyAlignment="1">
      <alignment horizontal="left" vertical="top" wrapText="1"/>
    </xf>
    <xf numFmtId="0" fontId="29" fillId="0" borderId="3" xfId="0" applyNumberFormat="1" applyFont="1" applyBorder="1" applyAlignment="1">
      <alignment horizontal="center" vertical="center" wrapText="1"/>
    </xf>
    <xf numFmtId="0" fontId="30" fillId="0" borderId="0" xfId="0" applyNumberFormat="1" applyFont="1" applyAlignment="1">
      <alignment horizontal="center" vertical="center" wrapText="1"/>
    </xf>
    <xf numFmtId="0" fontId="29" fillId="0" borderId="3" xfId="0" applyNumberFormat="1" applyFont="1" applyBorder="1" applyAlignment="1">
      <alignment horizontal="center" vertical="center"/>
    </xf>
    <xf numFmtId="0" fontId="29" fillId="0" borderId="5" xfId="0" applyNumberFormat="1" applyFont="1" applyBorder="1" applyAlignment="1">
      <alignment horizontal="center" vertical="center"/>
    </xf>
    <xf numFmtId="167" fontId="5" fillId="7" borderId="3" xfId="0" applyNumberFormat="1" applyFont="1" applyFill="1" applyBorder="1" applyAlignment="1">
      <alignment horizontal="left" vertical="center" wrapText="1" indent="1"/>
    </xf>
    <xf numFmtId="167"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167" fontId="29" fillId="0" borderId="3"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0" fontId="0" fillId="8" borderId="5" xfId="0" applyNumberFormat="1" applyFont="1" applyFill="1" applyBorder="1" applyAlignment="1">
      <alignment horizontal="center" vertical="center" wrapText="1"/>
    </xf>
    <xf numFmtId="0" fontId="0" fillId="8" borderId="6" xfId="0" applyNumberFormat="1" applyFont="1" applyFill="1" applyBorder="1" applyAlignment="1">
      <alignment horizontal="center" vertical="center" wrapText="1"/>
    </xf>
    <xf numFmtId="0" fontId="0" fillId="8" borderId="4"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0" fontId="5" fillId="8" borderId="27" xfId="0" applyNumberFormat="1" applyFont="1" applyFill="1" applyBorder="1" applyAlignment="1">
      <alignment horizontal="center" vertical="center" wrapText="1"/>
    </xf>
    <xf numFmtId="0" fontId="5" fillId="8" borderId="14" xfId="0" applyNumberFormat="1" applyFont="1" applyFill="1" applyBorder="1" applyAlignment="1">
      <alignment horizontal="center" vertical="center" wrapText="1"/>
    </xf>
    <xf numFmtId="49" fontId="22" fillId="10" borderId="8" xfId="0" applyNumberFormat="1" applyFont="1" applyFill="1" applyBorder="1" applyAlignment="1">
      <alignment horizontal="center" vertical="center" textRotation="90" wrapText="1"/>
    </xf>
    <xf numFmtId="49" fontId="22" fillId="10" borderId="27" xfId="0" applyNumberFormat="1" applyFont="1" applyFill="1" applyBorder="1" applyAlignment="1">
      <alignment horizontal="center" vertical="center" textRotation="90" wrapText="1"/>
    </xf>
    <xf numFmtId="49" fontId="22" fillId="10" borderId="14" xfId="0" applyNumberFormat="1" applyFont="1" applyFill="1" applyBorder="1" applyAlignment="1">
      <alignment horizontal="center" vertical="center" textRotation="90" wrapText="1"/>
    </xf>
    <xf numFmtId="0" fontId="29" fillId="0" borderId="8" xfId="0" applyNumberFormat="1" applyFont="1" applyBorder="1" applyAlignment="1">
      <alignment horizontal="center" vertical="center" wrapText="1"/>
    </xf>
    <xf numFmtId="0" fontId="29" fillId="0" borderId="14"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29" fillId="0" borderId="5" xfId="0" applyNumberFormat="1" applyFont="1" applyBorder="1" applyAlignment="1">
      <alignment horizontal="center" vertical="center" wrapText="1"/>
    </xf>
    <xf numFmtId="167" fontId="0" fillId="12" borderId="8" xfId="0" applyNumberFormat="1" applyFont="1" applyFill="1" applyBorder="1" applyAlignment="1" applyProtection="1">
      <alignment horizontal="center" vertical="center" wrapText="1"/>
      <protection locked="0"/>
    </xf>
    <xf numFmtId="49" fontId="0" fillId="12" borderId="14"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xf>
    <xf numFmtId="0" fontId="5" fillId="0" borderId="5" xfId="0" applyNumberFormat="1" applyFont="1" applyBorder="1" applyAlignment="1">
      <alignment horizontal="center" vertical="center"/>
    </xf>
    <xf numFmtId="0" fontId="0" fillId="8" borderId="10" xfId="0" applyNumberFormat="1" applyFont="1" applyFill="1" applyBorder="1" applyAlignment="1">
      <alignment horizontal="center" vertical="center" wrapText="1"/>
    </xf>
    <xf numFmtId="0" fontId="30" fillId="0" borderId="8" xfId="0" applyNumberFormat="1" applyFont="1" applyBorder="1" applyAlignment="1">
      <alignment horizontal="center" vertical="center" wrapText="1"/>
    </xf>
    <xf numFmtId="0" fontId="30" fillId="0" borderId="14" xfId="0" applyNumberFormat="1" applyFont="1" applyBorder="1" applyAlignment="1">
      <alignment horizontal="center" vertical="center" wrapText="1"/>
    </xf>
    <xf numFmtId="0" fontId="30" fillId="0" borderId="5" xfId="0" applyNumberFormat="1" applyFont="1" applyBorder="1" applyAlignment="1">
      <alignment horizontal="left" vertical="center" wrapText="1"/>
    </xf>
    <xf numFmtId="0" fontId="30" fillId="0" borderId="6" xfId="0" applyNumberFormat="1" applyFont="1" applyBorder="1" applyAlignment="1">
      <alignment horizontal="left" vertical="center" wrapText="1"/>
    </xf>
    <xf numFmtId="0" fontId="30" fillId="0" borderId="4" xfId="0" applyNumberFormat="1" applyFont="1" applyBorder="1" applyAlignment="1">
      <alignment horizontal="left" vertical="center" wrapText="1"/>
    </xf>
    <xf numFmtId="0" fontId="5" fillId="7" borderId="28" xfId="0" applyNumberFormat="1" applyFont="1" applyFill="1" applyBorder="1" applyAlignment="1">
      <alignment horizontal="left" vertical="center" wrapText="1"/>
    </xf>
    <xf numFmtId="0" fontId="5" fillId="7" borderId="10" xfId="0" applyNumberFormat="1" applyFont="1" applyFill="1" applyBorder="1" applyAlignment="1">
      <alignment horizontal="left" vertical="center" wrapText="1"/>
    </xf>
    <xf numFmtId="0" fontId="5" fillId="7" borderId="11" xfId="0" applyNumberFormat="1" applyFont="1" applyFill="1" applyBorder="1" applyAlignment="1">
      <alignment horizontal="left" vertical="center" wrapText="1"/>
    </xf>
    <xf numFmtId="0" fontId="5" fillId="7" borderId="3" xfId="0" applyNumberFormat="1" applyFont="1" applyFill="1" applyBorder="1" applyAlignment="1">
      <alignment horizontal="left" vertical="center" wrapText="1"/>
    </xf>
    <xf numFmtId="0" fontId="30" fillId="0" borderId="3" xfId="0" applyNumberFormat="1" applyFont="1" applyBorder="1" applyAlignment="1">
      <alignment horizontal="left" vertical="center" wrapText="1"/>
    </xf>
    <xf numFmtId="167" fontId="0" fillId="12" borderId="14" xfId="0" applyNumberFormat="1" applyFont="1" applyFill="1" applyBorder="1" applyAlignment="1" applyProtection="1">
      <alignment horizontal="center" vertical="center" wrapText="1"/>
      <protection locked="0"/>
    </xf>
    <xf numFmtId="0" fontId="5" fillId="13" borderId="3" xfId="0" applyNumberFormat="1" applyFont="1" applyFill="1" applyBorder="1" applyAlignment="1">
      <alignment horizontal="left" vertical="center" wrapText="1"/>
    </xf>
    <xf numFmtId="0" fontId="0" fillId="0" borderId="27" xfId="0" applyNumberFormat="1" applyFont="1" applyBorder="1" applyAlignment="1">
      <alignment horizontal="center" vertical="center" wrapText="1"/>
    </xf>
    <xf numFmtId="0" fontId="5" fillId="0" borderId="10" xfId="0" applyNumberFormat="1" applyFont="1" applyBorder="1" applyAlignment="1">
      <alignment horizontal="center" vertical="center" wrapText="1"/>
    </xf>
    <xf numFmtId="0" fontId="5" fillId="0" borderId="18" xfId="0" applyNumberFormat="1" applyFont="1" applyBorder="1" applyAlignment="1">
      <alignment horizontal="center" vertical="center" wrapText="1"/>
    </xf>
    <xf numFmtId="0" fontId="5" fillId="13" borderId="11" xfId="0" applyNumberFormat="1" applyFont="1" applyFill="1" applyBorder="1" applyAlignment="1">
      <alignment horizontal="left" vertical="center" wrapText="1"/>
    </xf>
    <xf numFmtId="0" fontId="19"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8" borderId="28" xfId="0" applyNumberFormat="1" applyFont="1" applyFill="1" applyBorder="1" applyAlignment="1">
      <alignment horizontal="center" vertical="center" wrapText="1"/>
    </xf>
    <xf numFmtId="0" fontId="0" fillId="8" borderId="11" xfId="0" applyNumberFormat="1" applyFont="1" applyFill="1" applyBorder="1" applyAlignment="1">
      <alignment horizontal="center" vertical="center" wrapText="1"/>
    </xf>
    <xf numFmtId="0" fontId="0" fillId="8" borderId="13" xfId="0" applyNumberFormat="1" applyFont="1" applyFill="1" applyBorder="1" applyAlignment="1">
      <alignment horizontal="center" vertical="center" wrapText="1"/>
    </xf>
    <xf numFmtId="0" fontId="0" fillId="8" borderId="0" xfId="0" applyNumberFormat="1" applyFont="1" applyFill="1" applyAlignment="1">
      <alignment horizontal="center" vertical="center" wrapText="1"/>
    </xf>
    <xf numFmtId="0" fontId="0" fillId="8" borderId="15" xfId="0" applyNumberFormat="1" applyFont="1" applyFill="1" applyBorder="1" applyAlignment="1">
      <alignment horizontal="center" vertical="center" wrapText="1"/>
    </xf>
    <xf numFmtId="0" fontId="0" fillId="8" borderId="21" xfId="0" applyNumberFormat="1" applyFont="1" applyFill="1" applyBorder="1" applyAlignment="1">
      <alignment horizontal="center" vertical="center" wrapText="1"/>
    </xf>
    <xf numFmtId="0" fontId="0" fillId="8" borderId="18" xfId="0" applyNumberFormat="1" applyFont="1" applyFill="1" applyBorder="1" applyAlignment="1">
      <alignment horizontal="center" vertical="center" wrapText="1"/>
    </xf>
    <xf numFmtId="0" fontId="0" fillId="8" borderId="20" xfId="0" applyNumberFormat="1" applyFont="1" applyFill="1" applyBorder="1" applyAlignment="1">
      <alignment horizontal="center" vertical="center" wrapText="1"/>
    </xf>
    <xf numFmtId="0" fontId="5" fillId="8" borderId="28" xfId="0" applyNumberFormat="1" applyFont="1" applyFill="1" applyBorder="1" applyAlignment="1">
      <alignment horizontal="center" vertical="center" wrapText="1"/>
    </xf>
    <xf numFmtId="0" fontId="5" fillId="8" borderId="13" xfId="0" applyNumberFormat="1" applyFont="1" applyFill="1" applyBorder="1" applyAlignment="1">
      <alignment horizontal="center" vertical="center" wrapText="1"/>
    </xf>
    <xf numFmtId="0" fontId="5" fillId="8" borderId="21" xfId="0" applyNumberFormat="1" applyFont="1" applyFill="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5" fillId="7"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center" wrapText="1"/>
    </xf>
    <xf numFmtId="0" fontId="5" fillId="8" borderId="27"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49" fontId="5" fillId="12" borderId="27" xfId="0" applyNumberFormat="1" applyFont="1" applyFill="1" applyBorder="1" applyAlignment="1" applyProtection="1">
      <alignment horizontal="left" vertical="center" wrapText="1" indent="6"/>
      <protection locked="0"/>
    </xf>
    <xf numFmtId="49" fontId="5" fillId="12" borderId="14" xfId="0" applyNumberFormat="1" applyFont="1" applyFill="1" applyBorder="1" applyAlignment="1" applyProtection="1">
      <alignment horizontal="left" vertical="center" wrapText="1" indent="6"/>
      <protection locked="0"/>
    </xf>
    <xf numFmtId="0" fontId="30" fillId="0" borderId="15" xfId="0" applyNumberFormat="1" applyFont="1" applyBorder="1" applyAlignment="1">
      <alignment horizontal="center" vertical="top" wrapText="1"/>
    </xf>
    <xf numFmtId="49" fontId="5" fillId="0" borderId="3" xfId="0" applyNumberFormat="1" applyFont="1" applyBorder="1" applyAlignment="1">
      <alignment horizontal="left" vertical="center" wrapText="1" indent="1"/>
    </xf>
    <xf numFmtId="0" fontId="27" fillId="0" borderId="3" xfId="0" applyNumberFormat="1" applyFont="1" applyBorder="1" applyAlignment="1">
      <alignment horizontal="left" vertical="top" wrapText="1"/>
    </xf>
    <xf numFmtId="0" fontId="5" fillId="9" borderId="5" xfId="0" applyNumberFormat="1" applyFont="1" applyFill="1" applyBorder="1" applyAlignment="1" applyProtection="1">
      <alignment horizontal="left" vertical="center" wrapText="1"/>
      <protection locked="0"/>
    </xf>
    <xf numFmtId="0" fontId="5" fillId="9" borderId="6" xfId="0" applyNumberFormat="1" applyFont="1" applyFill="1" applyBorder="1" applyAlignment="1" applyProtection="1">
      <alignment horizontal="left" vertical="center" wrapText="1"/>
      <protection locked="0"/>
    </xf>
    <xf numFmtId="0" fontId="5" fillId="9" borderId="4" xfId="0" applyNumberFormat="1" applyFont="1" applyFill="1" applyBorder="1" applyAlignment="1" applyProtection="1">
      <alignment horizontal="left" vertical="center" wrapText="1"/>
      <protection locked="0"/>
    </xf>
    <xf numFmtId="49" fontId="5" fillId="9" borderId="5" xfId="0" applyNumberFormat="1" applyFont="1" applyFill="1" applyBorder="1" applyAlignment="1" applyProtection="1">
      <alignment horizontal="left" vertical="center" wrapText="1"/>
      <protection locked="0"/>
    </xf>
    <xf numFmtId="49" fontId="5" fillId="9" borderId="6" xfId="0" applyNumberFormat="1" applyFont="1" applyFill="1" applyBorder="1" applyAlignment="1" applyProtection="1">
      <alignment horizontal="left" vertical="center" wrapText="1"/>
      <protection locked="0"/>
    </xf>
    <xf numFmtId="49" fontId="5" fillId="9" borderId="4" xfId="0" applyNumberFormat="1" applyFont="1" applyFill="1" applyBorder="1" applyAlignment="1" applyProtection="1">
      <alignment horizontal="left" vertical="center" wrapText="1"/>
      <protection locked="0"/>
    </xf>
    <xf numFmtId="0" fontId="5" fillId="12" borderId="4" xfId="0" applyNumberFormat="1" applyFont="1" applyFill="1" applyBorder="1" applyAlignment="1" applyProtection="1">
      <alignment horizontal="center" vertical="center" wrapText="1"/>
      <protection locked="0"/>
    </xf>
    <xf numFmtId="4" fontId="5" fillId="12" borderId="3" xfId="0" applyNumberFormat="1" applyFont="1" applyFill="1" applyBorder="1" applyAlignment="1" applyProtection="1">
      <alignment horizontal="center" vertical="center" wrapText="1"/>
      <protection locked="0"/>
    </xf>
    <xf numFmtId="49" fontId="5" fillId="13" borderId="11" xfId="0" applyNumberFormat="1" applyFont="1" applyFill="1" applyBorder="1" applyAlignment="1">
      <alignment horizontal="center" vertical="center" wrapText="1"/>
    </xf>
    <xf numFmtId="49" fontId="5" fillId="13" borderId="20" xfId="0" applyNumberFormat="1" applyFont="1" applyFill="1" applyBorder="1" applyAlignment="1">
      <alignment horizontal="center" vertical="center" wrapText="1"/>
    </xf>
    <xf numFmtId="49" fontId="5" fillId="9" borderId="8" xfId="0" applyNumberFormat="1" applyFont="1" applyFill="1" applyBorder="1" applyAlignment="1" applyProtection="1">
      <alignment horizontal="left" vertical="center" wrapText="1" indent="6"/>
      <protection locked="0"/>
    </xf>
    <xf numFmtId="49" fontId="5" fillId="9" borderId="27" xfId="0" applyNumberFormat="1" applyFont="1" applyFill="1" applyBorder="1" applyAlignment="1" applyProtection="1">
      <alignment horizontal="left" vertical="center" wrapText="1" indent="6"/>
      <protection locked="0"/>
    </xf>
    <xf numFmtId="49" fontId="5" fillId="9" borderId="14"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0" fontId="30" fillId="0" borderId="10" xfId="0" applyNumberFormat="1" applyFont="1" applyBorder="1" applyAlignment="1">
      <alignment horizontal="left" vertical="center" wrapText="1"/>
    </xf>
    <xf numFmtId="49" fontId="5" fillId="8" borderId="3" xfId="11" applyNumberFormat="1" applyFont="1" applyFill="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49" fontId="73" fillId="19" borderId="0" xfId="0" applyNumberFormat="1" applyFont="1" applyFill="1" applyAlignment="1">
      <alignment horizontal="center" vertical="center" textRotation="90" wrapText="1"/>
    </xf>
    <xf numFmtId="0" fontId="54" fillId="0" borderId="0" xfId="0" applyNumberFormat="1" applyFont="1" applyAlignment="1">
      <alignment horizontal="center" vertical="center" wrapText="1"/>
    </xf>
    <xf numFmtId="0" fontId="29" fillId="0" borderId="0" xfId="0" applyNumberFormat="1" applyFont="1" applyAlignment="1">
      <alignment horizontal="center" vertical="top"/>
    </xf>
    <xf numFmtId="0" fontId="5" fillId="0" borderId="14" xfId="0" applyNumberFormat="1" applyFont="1" applyBorder="1" applyAlignment="1">
      <alignment horizontal="left" vertical="center" wrapText="1"/>
    </xf>
    <xf numFmtId="0" fontId="0" fillId="0" borderId="5" xfId="0" applyNumberFormat="1" applyFont="1" applyBorder="1" applyAlignment="1">
      <alignment horizontal="right" vertical="center" wrapText="1" indent="1"/>
    </xf>
    <xf numFmtId="0" fontId="0" fillId="0" borderId="6" xfId="0" applyNumberFormat="1" applyFont="1" applyBorder="1" applyAlignment="1">
      <alignment horizontal="right" vertical="center" wrapText="1" indent="1"/>
    </xf>
    <xf numFmtId="0" fontId="0" fillId="0" borderId="4" xfId="0" applyNumberFormat="1" applyFont="1" applyBorder="1" applyAlignment="1">
      <alignment horizontal="right" vertical="center" wrapText="1" indent="1"/>
    </xf>
    <xf numFmtId="49" fontId="30" fillId="0" borderId="8" xfId="0" applyNumberFormat="1" applyFont="1" applyBorder="1" applyAlignment="1">
      <alignment horizontal="center" vertical="center" wrapText="1"/>
    </xf>
    <xf numFmtId="49" fontId="30" fillId="0" borderId="27" xfId="0" applyNumberFormat="1" applyFont="1" applyBorder="1" applyAlignment="1">
      <alignment horizontal="center" vertical="center" wrapText="1"/>
    </xf>
    <xf numFmtId="49" fontId="30" fillId="0" borderId="14" xfId="0" applyNumberFormat="1" applyFont="1" applyBorder="1" applyAlignment="1">
      <alignment horizontal="center" vertical="center" wrapText="1"/>
    </xf>
    <xf numFmtId="0" fontId="0" fillId="7" borderId="3" xfId="0" applyNumberFormat="1" applyFont="1" applyFill="1" applyBorder="1" applyAlignment="1">
      <alignment horizontal="left" vertical="center" wrapText="1" indent="1"/>
    </xf>
    <xf numFmtId="0" fontId="27" fillId="0" borderId="0" xfId="0" applyNumberFormat="1" applyFont="1" applyAlignment="1">
      <alignment horizontal="left" vertical="top" wrapText="1"/>
    </xf>
    <xf numFmtId="0" fontId="5" fillId="8" borderId="5" xfId="0" applyNumberFormat="1" applyFont="1" applyFill="1" applyBorder="1" applyAlignment="1">
      <alignment horizontal="center" vertical="center" wrapText="1"/>
    </xf>
    <xf numFmtId="0" fontId="5" fillId="8" borderId="6" xfId="0" applyNumberFormat="1" applyFont="1" applyFill="1" applyBorder="1" applyAlignment="1">
      <alignment horizontal="center" vertical="center" wrapText="1"/>
    </xf>
    <xf numFmtId="0" fontId="5" fillId="8" borderId="11"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xf>
    <xf numFmtId="0" fontId="30" fillId="0" borderId="6" xfId="0" applyNumberFormat="1" applyFont="1" applyBorder="1" applyAlignment="1">
      <alignment horizontal="right" vertical="center" wrapText="1" indent="1"/>
    </xf>
    <xf numFmtId="0" fontId="30" fillId="0" borderId="4" xfId="0" applyNumberFormat="1" applyFont="1" applyBorder="1" applyAlignment="1">
      <alignment horizontal="right" vertical="center" wrapText="1" indent="1"/>
    </xf>
    <xf numFmtId="49" fontId="5" fillId="30" borderId="0" xfId="0" applyNumberFormat="1" applyFont="1" applyFill="1" applyAlignment="1">
      <alignment horizontal="center" vertical="center" textRotation="90" wrapText="1"/>
    </xf>
    <xf numFmtId="0" fontId="5" fillId="7" borderId="5" xfId="0" applyNumberFormat="1" applyFont="1" applyFill="1" applyBorder="1" applyAlignment="1">
      <alignment horizontal="left" vertical="top" wrapText="1"/>
    </xf>
    <xf numFmtId="0" fontId="5" fillId="7" borderId="4" xfId="0" applyNumberFormat="1" applyFont="1" applyFill="1" applyBorder="1" applyAlignment="1">
      <alignment horizontal="left" vertical="top" wrapText="1"/>
    </xf>
    <xf numFmtId="0" fontId="5" fillId="7" borderId="5" xfId="0" applyNumberFormat="1" applyFont="1" applyFill="1" applyBorder="1" applyAlignment="1">
      <alignment horizontal="left" vertical="top" wrapText="1" indent="1"/>
    </xf>
    <xf numFmtId="0" fontId="5" fillId="7" borderId="4" xfId="0" applyNumberFormat="1" applyFont="1" applyFill="1" applyBorder="1" applyAlignment="1">
      <alignment horizontal="left" vertical="top" wrapText="1" indent="1"/>
    </xf>
    <xf numFmtId="49" fontId="5" fillId="0" borderId="0" xfId="0" applyNumberFormat="1" applyFont="1" applyAlignment="1">
      <alignment vertical="center" wrapText="1"/>
    </xf>
    <xf numFmtId="0" fontId="18" fillId="0" borderId="15" xfId="0" applyNumberFormat="1" applyFont="1" applyBorder="1" applyAlignment="1">
      <alignment horizontal="center" vertical="center" wrapText="1"/>
    </xf>
    <xf numFmtId="49" fontId="0" fillId="0" borderId="3" xfId="0" applyNumberFormat="1" applyFont="1" applyBorder="1" applyAlignment="1">
      <alignment horizontal="center" vertical="center" wrapText="1"/>
    </xf>
    <xf numFmtId="0" fontId="0" fillId="0" borderId="3" xfId="0" applyNumberFormat="1" applyFont="1" applyBorder="1" applyAlignment="1">
      <alignment horizontal="left" vertical="center" wrapText="1" indent="1"/>
    </xf>
    <xf numFmtId="49" fontId="5" fillId="0" borderId="3" xfId="0" applyNumberFormat="1" applyFont="1" applyBorder="1" applyAlignment="1">
      <alignment horizontal="left" vertical="center" wrapText="1"/>
    </xf>
    <xf numFmtId="49" fontId="5" fillId="0" borderId="5" xfId="0" applyNumberFormat="1" applyFont="1" applyBorder="1" applyAlignment="1">
      <alignment horizontal="center" vertical="center" wrapText="1"/>
    </xf>
    <xf numFmtId="49" fontId="30"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xf>
    <xf numFmtId="0" fontId="5" fillId="8" borderId="20" xfId="0" applyNumberFormat="1" applyFont="1" applyFill="1" applyBorder="1" applyAlignment="1">
      <alignment horizontal="center" vertical="center" wrapText="1"/>
    </xf>
    <xf numFmtId="0" fontId="5" fillId="0" borderId="51" xfId="0" applyNumberFormat="1" applyFont="1" applyBorder="1" applyAlignment="1">
      <alignment horizontal="center" vertical="center"/>
    </xf>
    <xf numFmtId="0" fontId="5" fillId="0" borderId="52" xfId="0" applyNumberFormat="1" applyFont="1" applyBorder="1" applyAlignment="1">
      <alignment horizontal="center" vertical="center"/>
    </xf>
    <xf numFmtId="0" fontId="5" fillId="0" borderId="58" xfId="0" applyNumberFormat="1" applyFont="1" applyBorder="1" applyAlignment="1">
      <alignment horizontal="center" vertical="center"/>
    </xf>
    <xf numFmtId="0" fontId="5" fillId="0" borderId="64" xfId="0" applyNumberFormat="1" applyFont="1" applyBorder="1" applyAlignment="1">
      <alignment horizontal="center" vertical="center"/>
    </xf>
    <xf numFmtId="0" fontId="5" fillId="0" borderId="34" xfId="0" applyNumberFormat="1" applyFont="1" applyBorder="1" applyAlignment="1">
      <alignment horizontal="center" vertical="center"/>
    </xf>
    <xf numFmtId="49" fontId="0" fillId="0" borderId="3" xfId="0" applyNumberFormat="1" applyFont="1" applyBorder="1" applyAlignment="1">
      <alignment vertical="center" wrapText="1"/>
    </xf>
    <xf numFmtId="49" fontId="0" fillId="0" borderId="3" xfId="0" applyNumberFormat="1" applyFont="1" applyBorder="1" applyAlignment="1">
      <alignment horizontal="left" vertical="center" wrapText="1"/>
    </xf>
    <xf numFmtId="49" fontId="0" fillId="0" borderId="8" xfId="0" applyNumberFormat="1" applyFont="1" applyBorder="1" applyAlignment="1">
      <alignment horizontal="center" vertical="center" wrapText="1"/>
    </xf>
    <xf numFmtId="49" fontId="0" fillId="0" borderId="27" xfId="0" applyNumberFormat="1" applyFont="1" applyBorder="1" applyAlignment="1">
      <alignment horizontal="center" vertical="center" wrapText="1"/>
    </xf>
    <xf numFmtId="49" fontId="0" fillId="0" borderId="14" xfId="0" applyNumberFormat="1" applyFont="1" applyBorder="1" applyAlignment="1">
      <alignment horizontal="center" vertical="center" wrapText="1"/>
    </xf>
    <xf numFmtId="0" fontId="0" fillId="7" borderId="3" xfId="0" applyNumberFormat="1" applyFont="1" applyFill="1" applyBorder="1" applyAlignment="1">
      <alignment horizontal="center" vertical="center" wrapText="1"/>
    </xf>
    <xf numFmtId="49" fontId="0" fillId="0" borderId="3" xfId="0" applyNumberFormat="1" applyFont="1" applyBorder="1" applyAlignment="1">
      <alignment horizontal="center" vertical="center"/>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11" xfId="0" applyNumberFormat="1" applyFont="1" applyBorder="1" applyAlignment="1">
      <alignment horizontal="left" vertical="top" wrapText="1"/>
    </xf>
    <xf numFmtId="0" fontId="5" fillId="8" borderId="4" xfId="0" applyNumberFormat="1" applyFont="1" applyFill="1" applyBorder="1" applyAlignment="1">
      <alignment horizontal="center" vertical="center" wrapText="1"/>
    </xf>
    <xf numFmtId="0" fontId="5" fillId="14" borderId="3" xfId="0" applyNumberFormat="1" applyFont="1" applyFill="1" applyBorder="1" applyAlignment="1">
      <alignment horizontal="center" vertical="center" wrapText="1"/>
    </xf>
    <xf numFmtId="0" fontId="5" fillId="14" borderId="4" xfId="0" applyNumberFormat="1" applyFont="1" applyFill="1" applyBorder="1" applyAlignment="1">
      <alignment horizontal="center" vertical="center" wrapText="1"/>
    </xf>
    <xf numFmtId="49" fontId="5" fillId="14" borderId="3" xfId="0" applyNumberFormat="1" applyFont="1" applyFill="1" applyBorder="1" applyAlignment="1">
      <alignment horizontal="center" vertical="center" wrapText="1"/>
    </xf>
    <xf numFmtId="49" fontId="29" fillId="20" borderId="5" xfId="0" applyNumberFormat="1" applyFont="1" applyFill="1" applyBorder="1" applyAlignment="1">
      <alignment horizontal="center" vertical="center" wrapText="1"/>
    </xf>
    <xf numFmtId="49" fontId="29" fillId="20" borderId="6" xfId="0" applyNumberFormat="1" applyFont="1" applyFill="1" applyBorder="1" applyAlignment="1">
      <alignment horizontal="center" vertical="center" wrapText="1"/>
    </xf>
    <xf numFmtId="49" fontId="29" fillId="20" borderId="4" xfId="0" applyNumberFormat="1" applyFont="1" applyFill="1" applyBorder="1" applyAlignment="1">
      <alignment horizontal="center" vertical="center" wrapText="1"/>
    </xf>
    <xf numFmtId="49" fontId="29" fillId="23" borderId="5" xfId="0" applyNumberFormat="1" applyFont="1" applyFill="1" applyBorder="1" applyAlignment="1">
      <alignment horizontal="center" vertical="center" wrapText="1"/>
    </xf>
    <xf numFmtId="49" fontId="29" fillId="23" borderId="6" xfId="0" applyNumberFormat="1" applyFont="1" applyFill="1" applyBorder="1" applyAlignment="1">
      <alignment horizontal="center" vertical="center" wrapText="1"/>
    </xf>
    <xf numFmtId="49" fontId="29" fillId="23" borderId="4" xfId="0" applyNumberFormat="1" applyFont="1" applyFill="1" applyBorder="1" applyAlignment="1">
      <alignment horizontal="center" vertical="center" wrapText="1"/>
    </xf>
    <xf numFmtId="49" fontId="5" fillId="24" borderId="5" xfId="0" applyNumberFormat="1" applyFont="1" applyFill="1" applyBorder="1" applyAlignment="1">
      <alignment horizontal="center" vertical="center" wrapText="1"/>
    </xf>
    <xf numFmtId="49" fontId="5" fillId="24" borderId="6" xfId="0" applyNumberFormat="1" applyFont="1" applyFill="1" applyBorder="1" applyAlignment="1">
      <alignment horizontal="center" vertical="center" wrapText="1"/>
    </xf>
    <xf numFmtId="49" fontId="5" fillId="14" borderId="10" xfId="0" applyNumberFormat="1" applyFont="1" applyFill="1" applyBorder="1" applyAlignment="1">
      <alignment horizontal="center" vertical="center" wrapText="1"/>
    </xf>
    <xf numFmtId="49" fontId="5" fillId="14" borderId="0" xfId="0" applyNumberFormat="1" applyFont="1" applyFill="1" applyAlignment="1">
      <alignment horizontal="center" vertical="center" wrapText="1"/>
    </xf>
    <xf numFmtId="49" fontId="5" fillId="14" borderId="18" xfId="0" applyNumberFormat="1" applyFont="1" applyFill="1" applyBorder="1" applyAlignment="1">
      <alignment horizontal="center" vertical="center" wrapText="1"/>
    </xf>
    <xf numFmtId="0" fontId="5" fillId="22" borderId="5" xfId="0" applyNumberFormat="1" applyFont="1" applyFill="1" applyBorder="1" applyAlignment="1">
      <alignment horizontal="center" vertical="center" wrapText="1"/>
    </xf>
    <xf numFmtId="0" fontId="5" fillId="22" borderId="6" xfId="0" applyNumberFormat="1" applyFont="1" applyFill="1" applyBorder="1" applyAlignment="1">
      <alignment horizontal="center" vertical="center" wrapText="1"/>
    </xf>
    <xf numFmtId="0" fontId="5" fillId="22" borderId="4" xfId="0" applyNumberFormat="1" applyFont="1" applyFill="1" applyBorder="1" applyAlignment="1">
      <alignment horizontal="center" vertical="center" wrapText="1"/>
    </xf>
    <xf numFmtId="0" fontId="5" fillId="14" borderId="5" xfId="0" applyNumberFormat="1" applyFont="1" applyFill="1" applyBorder="1" applyAlignment="1">
      <alignment horizontal="center" vertical="center" wrapText="1"/>
    </xf>
    <xf numFmtId="0" fontId="0" fillId="0" borderId="3" xfId="0" applyNumberFormat="1" applyFont="1" applyBorder="1" applyAlignment="1">
      <alignment horizontal="left" vertical="center" wrapText="1"/>
    </xf>
    <xf numFmtId="0" fontId="21" fillId="8" borderId="15" xfId="0" applyNumberFormat="1" applyFont="1" applyFill="1" applyBorder="1" applyAlignment="1">
      <alignment horizontal="center" vertical="top" wrapText="1"/>
    </xf>
    <xf numFmtId="49" fontId="0" fillId="8" borderId="14" xfId="0" applyNumberFormat="1" applyFont="1" applyFill="1" applyBorder="1" applyAlignment="1">
      <alignment horizontal="center" vertical="center" wrapText="1"/>
    </xf>
    <xf numFmtId="0" fontId="0" fillId="7" borderId="14" xfId="0" applyNumberFormat="1" applyFont="1" applyFill="1" applyBorder="1" applyAlignment="1">
      <alignment horizontal="left" vertical="center" wrapText="1" indent="1"/>
    </xf>
    <xf numFmtId="0" fontId="5" fillId="0" borderId="6" xfId="0" applyNumberFormat="1" applyFont="1" applyBorder="1" applyAlignment="1">
      <alignment horizontal="left" vertical="top" wrapText="1" indent="1"/>
    </xf>
    <xf numFmtId="0" fontId="21" fillId="8" borderId="0" xfId="0" applyNumberFormat="1" applyFont="1" applyFill="1" applyAlignment="1">
      <alignment horizontal="center" vertical="top" wrapText="1"/>
    </xf>
    <xf numFmtId="49" fontId="18" fillId="8" borderId="10" xfId="0" applyNumberFormat="1" applyFont="1" applyFill="1" applyBorder="1" applyAlignment="1">
      <alignment horizontal="center" vertical="center" wrapText="1"/>
    </xf>
    <xf numFmtId="0" fontId="0" fillId="0" borderId="8" xfId="0" applyNumberFormat="1" applyFont="1" applyBorder="1" applyAlignment="1">
      <alignment horizontal="left" vertical="center" wrapText="1"/>
    </xf>
    <xf numFmtId="0" fontId="0" fillId="7"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top" wrapText="1"/>
    </xf>
    <xf numFmtId="0" fontId="0" fillId="8" borderId="27" xfId="0" applyNumberFormat="1" applyFont="1" applyFill="1" applyBorder="1" applyAlignment="1">
      <alignment horizontal="left" vertical="top" wrapText="1"/>
    </xf>
    <xf numFmtId="0" fontId="0" fillId="8" borderId="14" xfId="0" applyNumberFormat="1" applyFont="1" applyFill="1" applyBorder="1" applyAlignment="1">
      <alignment horizontal="left" vertical="top" wrapText="1"/>
    </xf>
    <xf numFmtId="4" fontId="5" fillId="0" borderId="8" xfId="0" applyNumberFormat="1" applyFont="1" applyBorder="1" applyAlignment="1">
      <alignment horizontal="center" vertical="center" wrapText="1"/>
    </xf>
    <xf numFmtId="4" fontId="5" fillId="0" borderId="14" xfId="0" applyNumberFormat="1" applyFont="1" applyBorder="1" applyAlignment="1">
      <alignment horizontal="center" vertical="center" wrapText="1"/>
    </xf>
    <xf numFmtId="4" fontId="5" fillId="0" borderId="27" xfId="0" applyNumberFormat="1" applyFont="1" applyBorder="1" applyAlignment="1">
      <alignment horizontal="center" vertical="center" wrapText="1"/>
    </xf>
    <xf numFmtId="0" fontId="5" fillId="0" borderId="20" xfId="0" applyNumberFormat="1" applyFont="1" applyBorder="1" applyAlignment="1">
      <alignment horizontal="left" vertical="top" wrapText="1"/>
    </xf>
    <xf numFmtId="164" fontId="5" fillId="0" borderId="8" xfId="0" applyNumberFormat="1" applyFont="1" applyBorder="1" applyAlignment="1">
      <alignment horizontal="center" vertical="center" wrapText="1"/>
    </xf>
    <xf numFmtId="164" fontId="5" fillId="0" borderId="14" xfId="0" applyNumberFormat="1" applyFont="1" applyBorder="1" applyAlignment="1">
      <alignment horizontal="center" vertical="center" wrapText="1"/>
    </xf>
    <xf numFmtId="164" fontId="5" fillId="0" borderId="5" xfId="0" applyNumberFormat="1" applyFont="1" applyBorder="1" applyAlignment="1">
      <alignment horizontal="center" vertical="center" wrapText="1"/>
    </xf>
    <xf numFmtId="164" fontId="5" fillId="0" borderId="6" xfId="0" applyNumberFormat="1" applyFont="1" applyBorder="1" applyAlignment="1">
      <alignment horizontal="center" vertical="center" wrapText="1"/>
    </xf>
    <xf numFmtId="164" fontId="5" fillId="0" borderId="4" xfId="0" applyNumberFormat="1" applyFont="1" applyBorder="1" applyAlignment="1">
      <alignment horizontal="center" vertical="center" wrapText="1"/>
    </xf>
    <xf numFmtId="14"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49" fontId="5" fillId="13" borderId="3" xfId="0" applyNumberFormat="1" applyFont="1" applyFill="1" applyBorder="1" applyAlignment="1">
      <alignment horizontal="left" vertical="center" wrapText="1"/>
    </xf>
    <xf numFmtId="0" fontId="5" fillId="7" borderId="20" xfId="0" applyNumberFormat="1" applyFont="1" applyFill="1" applyBorder="1" applyAlignment="1">
      <alignment horizontal="left" vertical="center" wrapText="1"/>
    </xf>
    <xf numFmtId="14" fontId="5" fillId="13" borderId="14" xfId="0" applyNumberFormat="1" applyFont="1" applyFill="1" applyBorder="1" applyAlignment="1">
      <alignment horizontal="left" vertical="center" wrapText="1"/>
    </xf>
    <xf numFmtId="49" fontId="5" fillId="0" borderId="3" xfId="0" applyNumberFormat="1" applyFont="1" applyBorder="1" applyAlignment="1">
      <alignment horizontal="left" vertical="top" wrapText="1"/>
    </xf>
    <xf numFmtId="49" fontId="109" fillId="0" borderId="3" xfId="0" applyNumberFormat="1" applyFont="1" applyBorder="1" applyAlignment="1">
      <alignment horizontal="left" vertical="top" wrapText="1"/>
    </xf>
    <xf numFmtId="0" fontId="5" fillId="0" borderId="6" xfId="0" applyNumberFormat="1" applyFont="1" applyBorder="1" applyAlignment="1">
      <alignment horizontal="left" vertical="center" wrapText="1"/>
    </xf>
    <xf numFmtId="164" fontId="5" fillId="0" borderId="27" xfId="0" applyNumberFormat="1" applyFont="1" applyBorder="1" applyAlignment="1">
      <alignment horizontal="center" vertical="center" wrapText="1"/>
    </xf>
    <xf numFmtId="164" fontId="5" fillId="0" borderId="3" xfId="0" applyNumberFormat="1" applyFont="1" applyBorder="1" applyAlignment="1">
      <alignment horizontal="center" vertical="center" wrapText="1"/>
    </xf>
    <xf numFmtId="164" fontId="27" fillId="0" borderId="10" xfId="0" applyNumberFormat="1" applyFont="1" applyBorder="1" applyAlignment="1">
      <alignment horizontal="center" vertical="center" wrapText="1"/>
    </xf>
    <xf numFmtId="49" fontId="5" fillId="13" borderId="21" xfId="0" applyNumberFormat="1" applyFont="1" applyFill="1" applyBorder="1" applyAlignment="1">
      <alignment horizontal="left" vertical="center" wrapText="1"/>
    </xf>
    <xf numFmtId="49" fontId="5" fillId="13" borderId="14" xfId="0" applyNumberFormat="1" applyFont="1" applyFill="1" applyBorder="1" applyAlignment="1">
      <alignment horizontal="left" vertical="center" wrapText="1"/>
    </xf>
    <xf numFmtId="49" fontId="5" fillId="0" borderId="0" xfId="0" applyNumberFormat="1" applyFont="1" applyAlignment="1">
      <alignment horizontal="left" vertical="top" wrapText="1"/>
    </xf>
    <xf numFmtId="0" fontId="5" fillId="0" borderId="4"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1"/>
    </xf>
    <xf numFmtId="49" fontId="0" fillId="0" borderId="6" xfId="0" applyNumberFormat="1" applyFont="1" applyBorder="1" applyAlignment="1">
      <alignment horizontal="left" vertical="center" indent="1"/>
    </xf>
    <xf numFmtId="49" fontId="0" fillId="12" borderId="3" xfId="0" applyNumberFormat="1" applyFont="1" applyFill="1" applyBorder="1" applyAlignment="1" applyProtection="1">
      <alignment horizontal="left" vertical="center" wrapText="1"/>
      <protection locked="0"/>
    </xf>
    <xf numFmtId="3" fontId="5" fillId="12" borderId="3" xfId="0" applyNumberFormat="1" applyFont="1" applyFill="1" applyBorder="1" applyAlignment="1" applyProtection="1">
      <alignment horizontal="center" vertical="center" wrapText="1"/>
      <protection locked="0"/>
    </xf>
    <xf numFmtId="49" fontId="5" fillId="13" borderId="5" xfId="0" applyNumberFormat="1" applyFont="1" applyFill="1" applyBorder="1" applyAlignment="1">
      <alignment horizontal="center" vertical="center" wrapText="1"/>
    </xf>
    <xf numFmtId="49" fontId="105" fillId="0" borderId="3" xfId="0" applyNumberFormat="1" applyFont="1" applyBorder="1" applyAlignment="1">
      <alignment horizontal="center" vertical="center" wrapText="1"/>
    </xf>
    <xf numFmtId="0" fontId="27" fillId="0" borderId="4" xfId="0" applyNumberFormat="1" applyFont="1" applyBorder="1" applyAlignment="1">
      <alignment horizontal="center" vertical="center"/>
    </xf>
    <xf numFmtId="49" fontId="5" fillId="13" borderId="8" xfId="0" applyNumberFormat="1" applyFont="1" applyFill="1" applyBorder="1" applyAlignment="1">
      <alignment horizontal="left" vertical="center" wrapText="1" indent="1"/>
    </xf>
    <xf numFmtId="49" fontId="5" fillId="13" borderId="27" xfId="0" applyNumberFormat="1" applyFont="1" applyFill="1" applyBorder="1" applyAlignment="1">
      <alignment horizontal="left" vertical="center" wrapText="1" indent="1"/>
    </xf>
    <xf numFmtId="49" fontId="5" fillId="13" borderId="14" xfId="0" applyNumberFormat="1" applyFont="1" applyFill="1" applyBorder="1" applyAlignment="1">
      <alignment horizontal="left" vertical="center" wrapText="1" indent="1"/>
    </xf>
    <xf numFmtId="49" fontId="5" fillId="7" borderId="3" xfId="0" applyNumberFormat="1" applyFont="1" applyFill="1" applyBorder="1" applyAlignment="1">
      <alignment horizontal="left" vertical="center" wrapText="1"/>
    </xf>
    <xf numFmtId="49" fontId="5" fillId="13" borderId="4"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protection locked="0"/>
    </xf>
    <xf numFmtId="0" fontId="22" fillId="10" borderId="6" xfId="0" applyNumberFormat="1" applyFont="1" applyFill="1" applyBorder="1" applyAlignment="1">
      <alignment horizontal="left" vertical="center"/>
    </xf>
    <xf numFmtId="0" fontId="22" fillId="10" borderId="4" xfId="0" applyNumberFormat="1" applyFont="1" applyFill="1" applyBorder="1" applyAlignment="1">
      <alignment horizontal="left" vertical="center"/>
    </xf>
    <xf numFmtId="0" fontId="22" fillId="10" borderId="10" xfId="0" applyNumberFormat="1" applyFont="1" applyFill="1" applyBorder="1" applyAlignment="1">
      <alignment horizontal="left" vertical="center"/>
    </xf>
    <xf numFmtId="0" fontId="22" fillId="10" borderId="11" xfId="0" applyNumberFormat="1" applyFont="1" applyFill="1" applyBorder="1" applyAlignment="1">
      <alignment horizontal="left" vertical="center"/>
    </xf>
    <xf numFmtId="49" fontId="5" fillId="12" borderId="8" xfId="0" applyNumberFormat="1" applyFont="1" applyFill="1" applyBorder="1" applyAlignment="1" applyProtection="1">
      <alignment horizontal="left" vertical="center" wrapText="1"/>
      <protection locked="0"/>
    </xf>
    <xf numFmtId="49" fontId="5" fillId="0" borderId="27" xfId="0" applyNumberFormat="1" applyFont="1" applyBorder="1" applyAlignment="1">
      <alignment horizontal="center" vertical="center"/>
    </xf>
    <xf numFmtId="0" fontId="5" fillId="13" borderId="8" xfId="0" applyNumberFormat="1" applyFont="1" applyFill="1" applyBorder="1" applyAlignment="1">
      <alignment horizontal="left" vertical="center" wrapText="1"/>
    </xf>
    <xf numFmtId="0" fontId="5" fillId="13" borderId="27" xfId="0" applyNumberFormat="1" applyFont="1" applyFill="1" applyBorder="1" applyAlignment="1">
      <alignment horizontal="left" vertical="center" wrapText="1"/>
    </xf>
    <xf numFmtId="49" fontId="5" fillId="13" borderId="8" xfId="0" applyNumberFormat="1" applyFont="1" applyFill="1" applyBorder="1" applyAlignment="1">
      <alignment horizontal="left" vertical="center" wrapText="1"/>
    </xf>
    <xf numFmtId="0" fontId="5" fillId="0" borderId="15" xfId="0" applyNumberFormat="1" applyFont="1" applyBorder="1" applyAlignment="1">
      <alignment horizontal="center" vertical="center"/>
    </xf>
    <xf numFmtId="49" fontId="5" fillId="9" borderId="8" xfId="0" applyNumberFormat="1" applyFont="1" applyFill="1" applyBorder="1" applyAlignment="1" applyProtection="1">
      <alignment horizontal="left" vertical="center" wrapText="1"/>
      <protection locked="0"/>
    </xf>
    <xf numFmtId="49" fontId="29" fillId="0" borderId="5" xfId="0" applyNumberFormat="1" applyFont="1" applyBorder="1" applyAlignment="1">
      <alignment horizontal="center" vertical="center" wrapText="1"/>
    </xf>
    <xf numFmtId="49" fontId="22" fillId="10" borderId="42" xfId="0" applyNumberFormat="1" applyFont="1" applyFill="1" applyBorder="1" applyAlignment="1">
      <alignment horizontal="left" vertical="center" indent="1"/>
    </xf>
    <xf numFmtId="49" fontId="5" fillId="7" borderId="3" xfId="0" applyNumberFormat="1" applyFont="1" applyFill="1" applyBorder="1" applyAlignment="1">
      <alignment horizontal="center" vertical="center" wrapText="1"/>
    </xf>
    <xf numFmtId="49" fontId="5" fillId="7" borderId="65" xfId="0" applyNumberFormat="1" applyFont="1" applyFill="1" applyBorder="1" applyAlignment="1">
      <alignment horizontal="center" vertical="center" wrapText="1"/>
    </xf>
    <xf numFmtId="3" fontId="29" fillId="0" borderId="3" xfId="0" applyNumberFormat="1" applyFont="1" applyBorder="1" applyAlignment="1">
      <alignment horizontal="center" vertical="center" wrapText="1"/>
    </xf>
    <xf numFmtId="49" fontId="29" fillId="0" borderId="3" xfId="0" applyNumberFormat="1" applyFont="1" applyBorder="1" applyAlignment="1">
      <alignment horizontal="left" vertical="center" wrapText="1"/>
    </xf>
    <xf numFmtId="49" fontId="29" fillId="0" borderId="4" xfId="0" applyNumberFormat="1" applyFont="1" applyBorder="1" applyAlignment="1">
      <alignment horizontal="center" vertical="center" wrapText="1"/>
    </xf>
    <xf numFmtId="49" fontId="29" fillId="0" borderId="4" xfId="0" applyNumberFormat="1" applyFont="1" applyBorder="1" applyAlignment="1">
      <alignment horizontal="left" vertical="center" wrapText="1"/>
    </xf>
    <xf numFmtId="49" fontId="107" fillId="0" borderId="4" xfId="0" applyNumberFormat="1" applyFont="1" applyBorder="1" applyAlignment="1">
      <alignment horizontal="center" vertical="center" wrapText="1"/>
    </xf>
    <xf numFmtId="0" fontId="76" fillId="0" borderId="3" xfId="0" applyNumberFormat="1" applyFont="1" applyBorder="1" applyAlignment="1">
      <alignment horizontal="center" vertical="center"/>
    </xf>
    <xf numFmtId="49" fontId="5" fillId="13" borderId="3" xfId="0" applyNumberFormat="1" applyFont="1" applyFill="1" applyBorder="1" applyAlignment="1">
      <alignment horizontal="center" vertical="top" wrapText="1"/>
    </xf>
    <xf numFmtId="49" fontId="5" fillId="13" borderId="5" xfId="0" applyNumberFormat="1" applyFont="1" applyFill="1" applyBorder="1" applyAlignment="1">
      <alignment horizontal="center" vertical="top" wrapText="1"/>
    </xf>
    <xf numFmtId="0" fontId="5" fillId="9" borderId="3" xfId="0" applyNumberFormat="1" applyFont="1" applyFill="1" applyBorder="1" applyAlignment="1" applyProtection="1">
      <alignment horizontal="left" vertical="top" wrapText="1"/>
      <protection locked="0"/>
    </xf>
    <xf numFmtId="167" fontId="0" fillId="9" borderId="3" xfId="0" applyNumberFormat="1" applyFont="1" applyFill="1" applyBorder="1" applyAlignment="1" applyProtection="1">
      <alignment horizontal="center" vertical="top" wrapText="1"/>
      <protection locked="0"/>
    </xf>
    <xf numFmtId="49" fontId="0" fillId="9" borderId="3" xfId="0" applyNumberFormat="1" applyFont="1" applyFill="1" applyBorder="1" applyAlignment="1" applyProtection="1">
      <alignment horizontal="center" vertical="top" wrapText="1"/>
      <protection locked="0"/>
    </xf>
    <xf numFmtId="49" fontId="5" fillId="12" borderId="3" xfId="0" applyNumberFormat="1" applyFont="1" applyFill="1" applyBorder="1" applyAlignment="1" applyProtection="1">
      <alignment horizontal="left" vertical="top" wrapText="1"/>
      <protection locked="0"/>
    </xf>
    <xf numFmtId="49" fontId="0" fillId="7" borderId="3" xfId="0" applyNumberFormat="1" applyFont="1" applyFill="1" applyBorder="1" applyAlignment="1">
      <alignment horizontal="center" vertical="top" wrapText="1"/>
    </xf>
    <xf numFmtId="0" fontId="5" fillId="7" borderId="3" xfId="0" applyNumberFormat="1" applyFont="1" applyFill="1" applyBorder="1" applyAlignment="1">
      <alignment horizontal="center" vertical="top" wrapText="1"/>
    </xf>
    <xf numFmtId="14" fontId="63" fillId="0" borderId="8" xfId="0" applyNumberFormat="1" applyFont="1" applyBorder="1" applyAlignment="1">
      <alignment horizontal="center" vertical="center" wrapText="1"/>
    </xf>
    <xf numFmtId="14" fontId="63" fillId="0" borderId="27" xfId="0" applyNumberFormat="1" applyFont="1" applyBorder="1" applyAlignment="1">
      <alignment horizontal="center" vertical="center" wrapText="1"/>
    </xf>
    <xf numFmtId="0" fontId="57" fillId="0" borderId="3" xfId="0" applyNumberFormat="1" applyFont="1" applyBorder="1" applyAlignment="1">
      <alignment horizontal="left" vertical="center" wrapText="1" indent="1"/>
    </xf>
    <xf numFmtId="0" fontId="57" fillId="0" borderId="3" xfId="0" applyNumberFormat="1" applyFont="1" applyBorder="1" applyAlignment="1">
      <alignment horizontal="left" vertical="top" indent="1"/>
    </xf>
    <xf numFmtId="0" fontId="18"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indent="1"/>
    </xf>
    <xf numFmtId="0" fontId="0" fillId="12" borderId="3" xfId="0" applyNumberFormat="1" applyFont="1" applyFill="1" applyBorder="1" applyAlignment="1" applyProtection="1">
      <alignment horizontal="left" vertical="center" wrapText="1"/>
      <protection locked="0"/>
    </xf>
    <xf numFmtId="49" fontId="0" fillId="12" borderId="5" xfId="0" applyNumberFormat="1" applyFont="1" applyFill="1" applyBorder="1" applyAlignment="1" applyProtection="1">
      <alignment horizontal="left" vertical="center" wrapText="1"/>
      <protection locked="0"/>
    </xf>
    <xf numFmtId="49" fontId="19" fillId="0" borderId="8" xfId="0" applyNumberFormat="1" applyFont="1" applyBorder="1" applyAlignment="1">
      <alignment horizontal="center" vertical="top" wrapText="1"/>
    </xf>
    <xf numFmtId="49" fontId="5" fillId="0" borderId="27" xfId="0" applyNumberFormat="1" applyFont="1" applyBorder="1" applyAlignment="1">
      <alignment horizontal="center" vertical="top" wrapText="1"/>
    </xf>
    <xf numFmtId="49" fontId="5" fillId="0" borderId="14" xfId="0" applyNumberFormat="1" applyFont="1" applyBorder="1" applyAlignment="1">
      <alignment horizontal="center" vertical="top" wrapText="1"/>
    </xf>
    <xf numFmtId="49" fontId="5" fillId="12" borderId="5"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49" fontId="5" fillId="0" borderId="8" xfId="0" applyNumberFormat="1" applyFont="1" applyBorder="1" applyAlignment="1">
      <alignment horizontal="center" vertical="center" wrapText="1"/>
    </xf>
    <xf numFmtId="49" fontId="5" fillId="0" borderId="27" xfId="0" applyNumberFormat="1" applyFont="1" applyBorder="1" applyAlignment="1">
      <alignment horizontal="center" vertical="center" wrapText="1"/>
    </xf>
    <xf numFmtId="49" fontId="5" fillId="0" borderId="14" xfId="0" applyNumberFormat="1" applyFont="1" applyBorder="1" applyAlignment="1">
      <alignment horizontal="center" vertical="center" wrapText="1"/>
    </xf>
    <xf numFmtId="49" fontId="5" fillId="0" borderId="3" xfId="0" applyNumberFormat="1" applyFont="1" applyBorder="1" applyAlignment="1">
      <alignment horizontal="center" vertical="top" wrapText="1"/>
    </xf>
    <xf numFmtId="0" fontId="0" fillId="7" borderId="3" xfId="0" applyNumberFormat="1" applyFont="1" applyFill="1" applyBorder="1" applyAlignment="1">
      <alignment horizontal="left" vertical="top" wrapText="1" indent="1"/>
    </xf>
    <xf numFmtId="49" fontId="5" fillId="13" borderId="8" xfId="0" applyNumberFormat="1" applyFont="1" applyFill="1" applyBorder="1" applyAlignment="1">
      <alignment horizontal="center" vertical="top" wrapText="1"/>
    </xf>
    <xf numFmtId="49" fontId="5" fillId="13" borderId="14" xfId="0" applyNumberFormat="1" applyFont="1" applyFill="1" applyBorder="1" applyAlignment="1">
      <alignment horizontal="center" vertical="top" wrapText="1"/>
    </xf>
    <xf numFmtId="167" fontId="0" fillId="12" borderId="3" xfId="0" applyNumberFormat="1" applyFont="1" applyFill="1" applyBorder="1" applyAlignment="1" applyProtection="1">
      <alignment horizontal="center" vertical="top" wrapText="1"/>
      <protection locked="0"/>
    </xf>
    <xf numFmtId="49" fontId="0" fillId="12" borderId="3" xfId="0" applyNumberFormat="1" applyFont="1" applyFill="1" applyBorder="1" applyAlignment="1" applyProtection="1">
      <alignment horizontal="center" vertical="top" wrapText="1"/>
      <protection locked="0"/>
    </xf>
    <xf numFmtId="49" fontId="5" fillId="13" borderId="3" xfId="0" applyNumberFormat="1" applyFont="1" applyFill="1" applyBorder="1" applyAlignment="1">
      <alignment horizontal="left" vertical="top" wrapText="1"/>
    </xf>
    <xf numFmtId="49" fontId="29" fillId="0" borderId="8" xfId="0" applyNumberFormat="1" applyFont="1" applyBorder="1" applyAlignment="1">
      <alignment horizontal="left" vertical="center" wrapText="1" indent="1"/>
    </xf>
    <xf numFmtId="49" fontId="29" fillId="0" borderId="27" xfId="0" applyNumberFormat="1" applyFont="1" applyBorder="1" applyAlignment="1">
      <alignment horizontal="left" vertical="center" wrapText="1" indent="1"/>
    </xf>
    <xf numFmtId="49" fontId="29" fillId="0" borderId="14" xfId="0" applyNumberFormat="1" applyFont="1" applyBorder="1" applyAlignment="1">
      <alignment horizontal="left" vertical="center" wrapText="1" indent="1"/>
    </xf>
    <xf numFmtId="0" fontId="27" fillId="0" borderId="3" xfId="0" applyNumberFormat="1" applyFont="1" applyBorder="1" applyAlignment="1">
      <alignment horizontal="center" vertical="center"/>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21" xfId="0" applyNumberFormat="1" applyFont="1" applyBorder="1" applyAlignment="1">
      <alignment horizontal="center" vertical="top" wrapText="1"/>
    </xf>
    <xf numFmtId="49" fontId="77" fillId="0" borderId="5" xfId="0" applyNumberFormat="1" applyFont="1" applyBorder="1" applyAlignment="1">
      <alignment horizontal="center" vertical="top" wrapText="1"/>
    </xf>
    <xf numFmtId="49" fontId="77" fillId="0" borderId="6" xfId="0" applyNumberFormat="1" applyFont="1" applyBorder="1" applyAlignment="1">
      <alignment horizontal="center" vertical="top" wrapText="1"/>
    </xf>
    <xf numFmtId="49" fontId="77" fillId="0" borderId="4"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77" fillId="0" borderId="27" xfId="0" applyNumberFormat="1" applyFont="1" applyBorder="1" applyAlignment="1">
      <alignment horizontal="center" vertical="top" wrapText="1"/>
    </xf>
    <xf numFmtId="49" fontId="77" fillId="0" borderId="14" xfId="0" applyNumberFormat="1" applyFont="1" applyBorder="1" applyAlignment="1">
      <alignment horizontal="center" vertical="top" wrapText="1"/>
    </xf>
    <xf numFmtId="0" fontId="28" fillId="0" borderId="10" xfId="0" applyNumberFormat="1" applyFont="1" applyBorder="1" applyAlignment="1">
      <alignment horizontal="left" vertical="center" wrapText="1" indent="1"/>
    </xf>
    <xf numFmtId="0" fontId="28" fillId="0" borderId="18" xfId="0" applyNumberFormat="1" applyFont="1" applyBorder="1" applyAlignment="1">
      <alignment horizontal="left" vertical="center" wrapText="1" indent="1"/>
    </xf>
    <xf numFmtId="0" fontId="5" fillId="0" borderId="0" xfId="0" applyNumberFormat="1" applyFont="1" applyAlignment="1">
      <alignment horizontal="right" vertical="center" wrapText="1"/>
    </xf>
    <xf numFmtId="4" fontId="5" fillId="7" borderId="3" xfId="0" applyNumberFormat="1" applyFont="1" applyFill="1" applyBorder="1" applyAlignment="1">
      <alignment horizontal="left" vertical="center" wrapText="1"/>
    </xf>
    <xf numFmtId="49" fontId="0" fillId="0" borderId="3" xfId="13" applyNumberFormat="1" applyFont="1" applyBorder="1" applyAlignment="1">
      <alignment horizontal="center" vertical="top"/>
    </xf>
    <xf numFmtId="49" fontId="0" fillId="0" borderId="5" xfId="13" applyNumberFormat="1" applyFont="1" applyBorder="1" applyAlignment="1">
      <alignment horizontal="center" vertical="top"/>
    </xf>
  </cellXfs>
  <cellStyles count="29">
    <cellStyle name=" 1" xfId="2" xr:uid="{00000000-0005-0000-0000-000030000000}"/>
    <cellStyle name=" 1 2" xfId="3" xr:uid="{00000000-0005-0000-0000-000031000000}"/>
    <cellStyle name=" 1_Stage1" xfId="2" xr:uid="{00000000-0005-0000-0000-000032000000}"/>
    <cellStyle name="_Model_RAB Мой_PR.PROG.WARM.NOTCOMBI.2012.2.16_v1.4(04.04.11) " xfId="4" xr:uid="{00000000-0005-0000-0000-000033000000}"/>
    <cellStyle name="_Model_RAB Мой_Книга2_PR.PROG.WARM.NOTCOMBI.2012.2.16_v1.4(04.04.11) " xfId="4" xr:uid="{00000000-0005-0000-0000-000034000000}"/>
    <cellStyle name="_Model_RAB_MRSK_svod_PR.PROG.WARM.NOTCOMBI.2012.2.16_v1.4(04.04.11) " xfId="4" xr:uid="{00000000-0005-0000-0000-000035000000}"/>
    <cellStyle name="_Model_RAB_MRSK_svod_Книга2_PR.PROG.WARM.NOTCOMBI.2012.2.16_v1.4(04.04.11) " xfId="4" xr:uid="{00000000-0005-0000-0000-000036000000}"/>
    <cellStyle name="_МОДЕЛЬ_1 (2)_PR.PROG.WARM.NOTCOMBI.2012.2.16_v1.4(04.04.11) " xfId="4" xr:uid="{00000000-0005-0000-0000-000037000000}"/>
    <cellStyle name="_МОДЕЛЬ_1 (2)_Книга2_PR.PROG.WARM.NOTCOMBI.2012.2.16_v1.4(04.04.11) " xfId="4" xr:uid="{00000000-0005-0000-0000-000038000000}"/>
    <cellStyle name="_пр 5 тариф RAB_PR.PROG.WARM.NOTCOMBI.2012.2.16_v1.4(04.04.11) " xfId="4" xr:uid="{00000000-0005-0000-0000-000039000000}"/>
    <cellStyle name="_пр 5 тариф RAB_Книга2_PR.PROG.WARM.NOTCOMBI.2012.2.16_v1.4(04.04.11) " xfId="4" xr:uid="{00000000-0005-0000-0000-00003A000000}"/>
    <cellStyle name="_Расчет RAB_22072008_PR.PROG.WARM.NOTCOMBI.2012.2.16_v1.4(04.04.11) " xfId="4" xr:uid="{00000000-0005-0000-0000-00003B000000}"/>
    <cellStyle name="_Расчет RAB_22072008_Книга2_PR.PROG.WARM.NOTCOMBI.2012.2.16_v1.4(04.04.11) " xfId="4" xr:uid="{00000000-0005-0000-0000-00003C000000}"/>
    <cellStyle name="_Расчет RAB_Лен и МОЭСК_с 2010 года_14.04.2009_со сглаж_version 3.0_без ФСК_PR.PROG.WARM.NOTCOMBI.2012.2.16_v1.4(04.04.11) " xfId="4" xr:uid="{00000000-0005-0000-0000-00003D000000}"/>
    <cellStyle name="_Расчет RAB_Лен и МОЭСК_с 2010 года_14.04.2009_со сглаж_version 3.0_без ФСК_Книга2_PR.PROG.WARM.NOTCOMBI.2012.2.16_v1.4(04.04.11) " xfId="4" xr:uid="{00000000-0005-0000-0000-00003E000000}"/>
    <cellStyle name="currency1" xfId="5" xr:uid="{00000000-0005-0000-0000-00003F000000}"/>
    <cellStyle name="Currency2" xfId="6" xr:uid="{00000000-0005-0000-0000-000040000000}"/>
    <cellStyle name="currency3" xfId="7" xr:uid="{00000000-0005-0000-0000-000041000000}"/>
    <cellStyle name="currency4" xfId="8" xr:uid="{00000000-0005-0000-0000-000042000000}"/>
    <cellStyle name="Followed Hyperlink" xfId="9" xr:uid="{00000000-0005-0000-0000-000043000000}"/>
    <cellStyle name="normal" xfId="1" xr:uid="{00000000-0005-0000-0000-000029000000}"/>
    <cellStyle name="Normal1" xfId="10" xr:uid="{00000000-0005-0000-0000-000045000000}"/>
    <cellStyle name="Normal2" xfId="6" xr:uid="{00000000-0005-0000-0000-000046000000}"/>
    <cellStyle name="Percent1" xfId="6" xr:uid="{00000000-0005-0000-0000-000047000000}"/>
    <cellStyle name="Обычный" xfId="0" builtinId="0"/>
    <cellStyle name="Обычный 10" xfId="11" xr:uid="{00000000-0005-0000-0000-000048000000}"/>
    <cellStyle name="Обычный 16" xfId="12" xr:uid="{00000000-0005-0000-0000-000049000000}"/>
    <cellStyle name="Обычный 2" xfId="13" xr:uid="{00000000-0005-0000-0000-00004A000000}"/>
    <cellStyle name="Открывавшаяся гиперссылка" xfId="14" xr:uid="{00000000-0005-0000-0000-00004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theme" Target="theme/theme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7.png"/></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_rels/drawing8.xml.rels><?xml version="1.0" encoding="UTF-8" standalone="yes"?>
<Relationships xmlns="http://schemas.openxmlformats.org/package/2006/relationships"><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11</xdr:row>
      <xdr:rowOff>57341</xdr:rowOff>
    </xdr:to>
    <xdr:pic>
      <xdr:nvPicPr>
        <xdr:cNvPr id="2" name="PHONE_PIC" descr="update_org.png" hidden="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19</xdr:row>
      <xdr:rowOff>76391</xdr:rowOff>
    </xdr:to>
    <xdr:pic>
      <xdr:nvPicPr>
        <xdr:cNvPr id="3" name="PHONE_PIC_1" descr="update_org.png" hidden="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4" name="cmdCreatePrintedForm" descr="Создание печатной формы" hidden="1">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5" name="UPDATE_PLAN1X_DATA" descr="update_org.png" hidden="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6" name="PHONE_PIC_2" descr="update_org.png" hidden="1">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2" name="ExcludeHelp_2" descr="Справка по листу" hidden="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3" name="Рисунок 1" hidden="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2" name="Рисунок 8" hidden="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2" name="UNFREEZE_PANES_I11" descr="update_org.png" hidden="1">
          <a:extLst>
            <a:ext uri="{FF2B5EF4-FFF2-40B4-BE49-F238E27FC236}">
              <a16:creationId xmlns:a16="http://schemas.microsoft.com/office/drawing/2014/main" id="{00000000-0008-0000-2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2" name="UNFREEZE_PANES" descr="update_org.png" hidden="1">
          <a:extLst>
            <a:ext uri="{FF2B5EF4-FFF2-40B4-BE49-F238E27FC236}">
              <a16:creationId xmlns:a16="http://schemas.microsoft.com/office/drawing/2014/main" id="{00000000-0008-0000-2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2" name="UNFREEZE_PANES" descr="update_org.png" hidden="1">
          <a:extLst>
            <a:ext uri="{FF2B5EF4-FFF2-40B4-BE49-F238E27FC236}">
              <a16:creationId xmlns:a16="http://schemas.microsoft.com/office/drawing/2014/main" id="{00000000-0008-0000-2E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2" name="UNFREEZE_PANES" descr="update_org.png" hidden="1">
          <a:extLst>
            <a:ext uri="{FF2B5EF4-FFF2-40B4-BE49-F238E27FC236}">
              <a16:creationId xmlns:a16="http://schemas.microsoft.com/office/drawing/2014/main" id="{00000000-0008-0000-2F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2" name="UNFREEZE_PANES" descr="update_org.png" hidden="1">
          <a:extLst>
            <a:ext uri="{FF2B5EF4-FFF2-40B4-BE49-F238E27FC236}">
              <a16:creationId xmlns:a16="http://schemas.microsoft.com/office/drawing/2014/main" id="{00000000-0008-0000-3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hyperlink" Target="https://portal.eias.ru/Portal/DownloadPage.aspx?type=12&amp;guid=a36cbf26-60ae-4ba3-b86c-abf19d408097" TargetMode="Externa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712B54-3617-0FEF-B234-E2926FDC1F37}">
  <dimension ref="A1:AB21"/>
  <sheetViews>
    <sheetView showGridLines="0" showRowColHeaders="0" tabSelected="1" workbookViewId="0"/>
  </sheetViews>
  <sheetFormatPr defaultColWidth="11" defaultRowHeight="12.75" customHeight="1"/>
  <cols>
    <col min="1" max="1" width="5.3984375" style="2000" customWidth="1"/>
    <col min="2" max="2" width="9.09765625" style="2000" customWidth="1"/>
    <col min="3" max="3" width="16.3984375" style="2000" customWidth="1"/>
    <col min="4" max="25" width="6.296875" style="2000" customWidth="1"/>
    <col min="26" max="28" width="11" style="2000"/>
  </cols>
  <sheetData>
    <row r="1" spans="1:28" ht="15.75" customHeight="1">
      <c r="A1" s="1617"/>
      <c r="B1" s="1618"/>
      <c r="C1" s="1618"/>
      <c r="D1" s="1618"/>
      <c r="E1" s="1618"/>
      <c r="F1" s="1618"/>
      <c r="G1" s="1618"/>
      <c r="H1" s="1618"/>
      <c r="I1" s="1618"/>
      <c r="J1" s="1618"/>
      <c r="K1" s="1618"/>
      <c r="L1" s="1618"/>
      <c r="M1" s="1618"/>
      <c r="N1" s="1618"/>
      <c r="O1" s="1618"/>
      <c r="P1" s="1618"/>
      <c r="Q1" s="1618"/>
      <c r="R1" s="1618"/>
      <c r="S1" s="1618"/>
      <c r="T1" s="1618"/>
      <c r="U1" s="1618"/>
      <c r="V1" s="1618"/>
      <c r="W1" s="1618"/>
      <c r="X1" s="1618"/>
      <c r="Y1" s="1619"/>
      <c r="Z1" s="1618"/>
      <c r="AA1" s="1620" t="s">
        <v>0</v>
      </c>
      <c r="AB1" s="1618"/>
    </row>
    <row r="2" spans="1:28" ht="17.25" customHeight="1">
      <c r="A2" s="1618"/>
      <c r="B2" s="3019" t="s">
        <v>1</v>
      </c>
      <c r="C2" s="3019"/>
      <c r="D2" s="3019"/>
      <c r="E2" s="3019"/>
      <c r="F2" s="3019"/>
      <c r="G2" s="3019"/>
      <c r="H2" s="3019"/>
      <c r="I2" s="3019"/>
      <c r="J2" s="3019"/>
      <c r="K2" s="3019"/>
      <c r="L2" s="3019"/>
      <c r="M2" s="3019"/>
      <c r="N2" s="3019"/>
      <c r="O2" s="3019"/>
      <c r="P2" s="3019"/>
      <c r="Q2" s="1621"/>
      <c r="R2" s="1621"/>
      <c r="S2" s="1621"/>
      <c r="T2" s="1621"/>
      <c r="U2" s="1621"/>
      <c r="V2" s="1622"/>
      <c r="W2" s="1621"/>
      <c r="X2" s="1621"/>
      <c r="Y2" s="1619"/>
      <c r="Z2" s="1618"/>
      <c r="AA2" s="1620"/>
      <c r="AB2" s="1618"/>
    </row>
    <row r="3" spans="1:28" ht="15.75" customHeight="1">
      <c r="A3" s="1618"/>
      <c r="B3" s="3020" t="s">
        <v>2</v>
      </c>
      <c r="C3" s="3020"/>
      <c r="D3" s="3020"/>
      <c r="E3" s="3020"/>
      <c r="F3" s="3020"/>
      <c r="G3" s="3020"/>
      <c r="H3" s="3020"/>
      <c r="I3" s="3020"/>
      <c r="J3" s="3020"/>
      <c r="K3" s="3020"/>
      <c r="L3" s="3020"/>
      <c r="M3" s="3020"/>
      <c r="N3" s="3020"/>
      <c r="O3" s="3020"/>
      <c r="P3" s="3020"/>
      <c r="Q3" s="1622"/>
      <c r="R3" s="1622"/>
      <c r="S3" s="1621"/>
      <c r="T3" s="1621"/>
      <c r="U3" s="1621"/>
      <c r="V3" s="1622"/>
      <c r="W3" s="1622"/>
      <c r="X3" s="1622"/>
      <c r="Y3" s="1622"/>
      <c r="Z3" s="1618"/>
      <c r="AA3" s="1620"/>
      <c r="AB3" s="1618"/>
    </row>
    <row r="4" spans="1:28" ht="17.25" customHeight="1">
      <c r="A4" s="1618"/>
      <c r="B4" s="1623"/>
      <c r="C4" s="1618"/>
      <c r="D4" s="1622"/>
      <c r="E4" s="1622"/>
      <c r="F4" s="1622"/>
      <c r="G4" s="1622"/>
      <c r="H4" s="1622"/>
      <c r="I4" s="1622"/>
      <c r="J4" s="1622"/>
      <c r="K4" s="1622"/>
      <c r="L4" s="1622"/>
      <c r="M4" s="1622"/>
      <c r="N4" s="1622"/>
      <c r="O4" s="1622"/>
      <c r="P4" s="1622"/>
      <c r="Q4" s="1622"/>
      <c r="R4" s="1622"/>
      <c r="S4" s="1622"/>
      <c r="T4" s="1622"/>
      <c r="U4" s="1622"/>
      <c r="V4" s="1622"/>
      <c r="W4" s="1622"/>
      <c r="X4" s="1622"/>
      <c r="Y4" s="1622"/>
      <c r="Z4" s="1618"/>
      <c r="AA4" s="1620"/>
      <c r="AB4" s="1618"/>
    </row>
    <row r="5" spans="1:28" ht="22.5" customHeight="1">
      <c r="A5" s="1624"/>
      <c r="B5" s="3021" t="str">
        <f>IF(TEMPLATE_SPHERE="","Информация, подлежащая раскрытию регулируемыми организациями",Титульный!E5)</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C5" s="3022"/>
      <c r="D5" s="3022"/>
      <c r="E5" s="3022"/>
      <c r="F5" s="3022"/>
      <c r="G5" s="3022"/>
      <c r="H5" s="3022"/>
      <c r="I5" s="3022"/>
      <c r="J5" s="3022"/>
      <c r="K5" s="3022"/>
      <c r="L5" s="3022"/>
      <c r="M5" s="3022"/>
      <c r="N5" s="3022"/>
      <c r="O5" s="3022"/>
      <c r="P5" s="3022"/>
      <c r="Q5" s="3022"/>
      <c r="R5" s="3022"/>
      <c r="S5" s="3022"/>
      <c r="T5" s="3022"/>
      <c r="U5" s="3022"/>
      <c r="V5" s="3022"/>
      <c r="W5" s="3022"/>
      <c r="X5" s="3022"/>
      <c r="Y5" s="3023"/>
      <c r="Z5" s="1624"/>
      <c r="AA5" s="1620"/>
      <c r="AB5" s="1624"/>
    </row>
    <row r="6" spans="1:28" ht="15" customHeight="1">
      <c r="A6" s="1625"/>
      <c r="B6" s="3024" t="s">
        <v>3</v>
      </c>
      <c r="C6" s="3025"/>
      <c r="D6" s="1626"/>
      <c r="E6" s="1626"/>
      <c r="F6" s="1626"/>
      <c r="G6" s="1626"/>
      <c r="H6" s="1626"/>
      <c r="I6" s="1626"/>
      <c r="J6" s="1626"/>
      <c r="K6" s="1626"/>
      <c r="L6" s="1626"/>
      <c r="M6" s="1626"/>
      <c r="N6" s="1626"/>
      <c r="O6" s="1626"/>
      <c r="P6" s="1626"/>
      <c r="Q6" s="1626"/>
      <c r="R6" s="1626"/>
      <c r="S6" s="1626"/>
      <c r="T6" s="1626"/>
      <c r="U6" s="1626"/>
      <c r="V6" s="1626"/>
      <c r="W6" s="1626"/>
      <c r="X6" s="1626"/>
      <c r="Y6" s="1627"/>
      <c r="Z6" s="1628"/>
      <c r="AA6" s="1629"/>
      <c r="AB6" s="1629"/>
    </row>
    <row r="7" spans="1:28" ht="15" customHeight="1">
      <c r="A7" s="1625"/>
      <c r="B7" s="3024"/>
      <c r="C7" s="3025"/>
      <c r="D7" s="1626"/>
      <c r="E7" s="1626"/>
      <c r="F7" s="1630"/>
      <c r="G7" s="1630"/>
      <c r="H7" s="1630"/>
      <c r="I7" s="1630"/>
      <c r="J7" s="1630"/>
      <c r="K7" s="1630"/>
      <c r="L7" s="1630"/>
      <c r="M7" s="1630"/>
      <c r="N7" s="1630"/>
      <c r="O7" s="1626"/>
      <c r="P7" s="1630"/>
      <c r="Q7" s="1630"/>
      <c r="R7" s="1630"/>
      <c r="S7" s="1630"/>
      <c r="T7" s="1630"/>
      <c r="U7" s="1630"/>
      <c r="V7" s="1630"/>
      <c r="W7" s="1630"/>
      <c r="X7" s="1630"/>
      <c r="Y7" s="1627"/>
      <c r="Z7" s="1628"/>
      <c r="AA7" s="1629"/>
      <c r="AB7" s="1629"/>
    </row>
    <row r="8" spans="1:28" ht="15" customHeight="1">
      <c r="A8" s="1625"/>
      <c r="B8" s="3024"/>
      <c r="C8" s="3025"/>
      <c r="D8" s="1631"/>
      <c r="E8" s="1632" t="s">
        <v>4</v>
      </c>
      <c r="F8" s="3027" t="s">
        <v>5</v>
      </c>
      <c r="G8" s="3028"/>
      <c r="H8" s="3028"/>
      <c r="I8" s="3028"/>
      <c r="J8" s="3028"/>
      <c r="K8" s="3028"/>
      <c r="L8" s="3028"/>
      <c r="M8" s="3028"/>
      <c r="N8" s="1631"/>
      <c r="O8" s="1633" t="s">
        <v>4</v>
      </c>
      <c r="P8" s="3029" t="s">
        <v>6</v>
      </c>
      <c r="Q8" s="3030"/>
      <c r="R8" s="3030"/>
      <c r="S8" s="3030"/>
      <c r="T8" s="3030"/>
      <c r="U8" s="3030"/>
      <c r="V8" s="3030"/>
      <c r="W8" s="3030"/>
      <c r="X8" s="3030"/>
      <c r="Y8" s="1627"/>
      <c r="Z8" s="1628"/>
      <c r="AA8" s="1629"/>
      <c r="AB8" s="1629"/>
    </row>
    <row r="9" spans="1:28" ht="15" customHeight="1">
      <c r="A9" s="1625"/>
      <c r="B9" s="3024"/>
      <c r="C9" s="3025"/>
      <c r="D9" s="1631"/>
      <c r="E9" s="1634" t="s">
        <v>4</v>
      </c>
      <c r="F9" s="3027" t="s">
        <v>7</v>
      </c>
      <c r="G9" s="3028"/>
      <c r="H9" s="3028"/>
      <c r="I9" s="3028"/>
      <c r="J9" s="3028"/>
      <c r="K9" s="3028"/>
      <c r="L9" s="3028"/>
      <c r="M9" s="3028"/>
      <c r="N9" s="1631"/>
      <c r="O9" s="1635" t="s">
        <v>4</v>
      </c>
      <c r="P9" s="3029" t="s">
        <v>8</v>
      </c>
      <c r="Q9" s="3030"/>
      <c r="R9" s="3030"/>
      <c r="S9" s="3030"/>
      <c r="T9" s="3030"/>
      <c r="U9" s="3030"/>
      <c r="V9" s="3030"/>
      <c r="W9" s="3030"/>
      <c r="X9" s="3030"/>
      <c r="Y9" s="1627"/>
      <c r="Z9" s="1628"/>
      <c r="AA9" s="1629"/>
      <c r="AB9" s="1629"/>
    </row>
    <row r="10" spans="1:28" ht="30" customHeight="1">
      <c r="A10" s="1625"/>
      <c r="B10" s="3024"/>
      <c r="C10" s="3026"/>
      <c r="D10" s="1636"/>
      <c r="E10" s="1637"/>
      <c r="F10" s="1630"/>
      <c r="G10" s="1630"/>
      <c r="H10" s="1630"/>
      <c r="I10" s="1630"/>
      <c r="J10" s="1630"/>
      <c r="K10" s="1630"/>
      <c r="L10" s="1630"/>
      <c r="M10" s="1630"/>
      <c r="N10" s="1630"/>
      <c r="O10" s="1637"/>
      <c r="P10" s="1630"/>
      <c r="Q10" s="1630"/>
      <c r="R10" s="1630"/>
      <c r="S10" s="1630"/>
      <c r="T10" s="1630"/>
      <c r="U10" s="1630"/>
      <c r="V10" s="1630"/>
      <c r="W10" s="1630"/>
      <c r="X10" s="1630"/>
      <c r="Y10" s="1627"/>
      <c r="Z10" s="1628"/>
      <c r="AA10" s="1629"/>
      <c r="AB10" s="1629"/>
    </row>
    <row r="11" spans="1:28" ht="19.5" customHeight="1">
      <c r="A11" s="1625"/>
      <c r="B11" s="3031" t="s">
        <v>9</v>
      </c>
      <c r="C11" s="3032"/>
      <c r="D11" s="1631"/>
      <c r="E11" s="1638"/>
      <c r="F11" s="1638"/>
      <c r="G11" s="1638"/>
      <c r="H11" s="1638"/>
      <c r="I11" s="1638"/>
      <c r="J11" s="1638"/>
      <c r="K11" s="1638"/>
      <c r="L11" s="1638"/>
      <c r="M11" s="1638"/>
      <c r="N11" s="1638"/>
      <c r="O11" s="1638"/>
      <c r="P11" s="1638"/>
      <c r="Q11" s="1638"/>
      <c r="R11" s="1638"/>
      <c r="S11" s="1638"/>
      <c r="T11" s="1638"/>
      <c r="U11" s="1638"/>
      <c r="V11" s="1638"/>
      <c r="W11" s="1638"/>
      <c r="X11" s="1638"/>
      <c r="Y11" s="1627"/>
      <c r="Z11" s="1628"/>
      <c r="AA11" s="1629"/>
      <c r="AB11" s="1629"/>
    </row>
    <row r="12" spans="1:28" ht="69" customHeight="1">
      <c r="A12" s="1625"/>
      <c r="B12" s="3024"/>
      <c r="C12" s="3026"/>
      <c r="D12" s="1639"/>
      <c r="E12" s="3028" t="s">
        <v>10</v>
      </c>
      <c r="F12" s="3028"/>
      <c r="G12" s="3028"/>
      <c r="H12" s="3028"/>
      <c r="I12" s="3028"/>
      <c r="J12" s="3028"/>
      <c r="K12" s="3028"/>
      <c r="L12" s="3028"/>
      <c r="M12" s="3028"/>
      <c r="N12" s="3028"/>
      <c r="O12" s="3028"/>
      <c r="P12" s="3028"/>
      <c r="Q12" s="3028"/>
      <c r="R12" s="3028"/>
      <c r="S12" s="3028"/>
      <c r="T12" s="3028"/>
      <c r="U12" s="3028"/>
      <c r="V12" s="3028"/>
      <c r="W12" s="3028"/>
      <c r="X12" s="3028"/>
      <c r="Y12" s="1627"/>
      <c r="Z12" s="1628"/>
      <c r="AA12" s="1629"/>
      <c r="AB12" s="1629"/>
    </row>
    <row r="13" spans="1:28" ht="15" customHeight="1">
      <c r="A13" s="1625"/>
      <c r="B13" s="3031" t="s">
        <v>11</v>
      </c>
      <c r="C13" s="3032"/>
      <c r="D13" s="1626"/>
      <c r="E13" s="1638"/>
      <c r="F13" s="1638"/>
      <c r="G13" s="1638"/>
      <c r="H13" s="1638"/>
      <c r="I13" s="1638"/>
      <c r="J13" s="1638"/>
      <c r="K13" s="1638"/>
      <c r="L13" s="1638"/>
      <c r="M13" s="1638"/>
      <c r="N13" s="1638"/>
      <c r="O13" s="1638"/>
      <c r="P13" s="1638"/>
      <c r="Q13" s="1638"/>
      <c r="R13" s="1638"/>
      <c r="S13" s="1638"/>
      <c r="T13" s="1638"/>
      <c r="U13" s="1638"/>
      <c r="V13" s="1638"/>
      <c r="W13" s="1638"/>
      <c r="X13" s="1638"/>
      <c r="Y13" s="1627"/>
      <c r="Z13" s="1628"/>
      <c r="AA13" s="1629"/>
      <c r="AB13" s="1629"/>
    </row>
    <row r="14" spans="1:28" ht="57" customHeight="1">
      <c r="A14" s="1625"/>
      <c r="B14" s="3024"/>
      <c r="C14" s="3025"/>
      <c r="D14" s="1631"/>
      <c r="E14" s="3035" t="s">
        <v>12</v>
      </c>
      <c r="F14" s="3035"/>
      <c r="G14" s="3035"/>
      <c r="H14" s="3035"/>
      <c r="I14" s="3035"/>
      <c r="J14" s="3035"/>
      <c r="K14" s="3035"/>
      <c r="L14" s="3035"/>
      <c r="M14" s="3035"/>
      <c r="N14" s="3035"/>
      <c r="O14" s="3035"/>
      <c r="P14" s="3035"/>
      <c r="Q14" s="3035"/>
      <c r="R14" s="3035"/>
      <c r="S14" s="3035"/>
      <c r="T14" s="3035"/>
      <c r="U14" s="3035"/>
      <c r="V14" s="3035"/>
      <c r="W14" s="3035"/>
      <c r="X14" s="3035"/>
      <c r="Y14" s="1627"/>
      <c r="Z14" s="1628"/>
      <c r="AA14" s="1629"/>
      <c r="AB14" s="1629"/>
    </row>
    <row r="15" spans="1:28" ht="16.5" customHeight="1">
      <c r="A15" s="1625"/>
      <c r="B15" s="3033"/>
      <c r="C15" s="3034"/>
      <c r="D15" s="1640"/>
      <c r="E15" s="1641"/>
      <c r="F15" s="1641"/>
      <c r="G15" s="1641"/>
      <c r="H15" s="1641"/>
      <c r="I15" s="1641"/>
      <c r="J15" s="1641"/>
      <c r="K15" s="1641"/>
      <c r="L15" s="1641"/>
      <c r="M15" s="1641"/>
      <c r="N15" s="1641"/>
      <c r="O15" s="1641"/>
      <c r="P15" s="1641"/>
      <c r="Q15" s="1641"/>
      <c r="R15" s="1641"/>
      <c r="S15" s="1641"/>
      <c r="T15" s="1641"/>
      <c r="U15" s="1641"/>
      <c r="V15" s="1641"/>
      <c r="W15" s="1641"/>
      <c r="X15" s="1641"/>
      <c r="Y15" s="1642"/>
      <c r="Z15" s="1628"/>
      <c r="AA15" s="1643"/>
      <c r="AB15" s="1629"/>
    </row>
    <row r="16" spans="1:28" ht="95.25" customHeight="1">
      <c r="A16" s="1618"/>
      <c r="B16" s="3035"/>
      <c r="C16" s="3036"/>
      <c r="D16" s="3036"/>
      <c r="E16" s="3036"/>
      <c r="F16" s="3036"/>
      <c r="G16" s="3036"/>
      <c r="H16" s="3036"/>
      <c r="I16" s="3036"/>
      <c r="J16" s="3036"/>
      <c r="K16" s="3036"/>
      <c r="L16" s="3036"/>
      <c r="M16" s="3036"/>
      <c r="N16" s="3036"/>
      <c r="O16" s="3036"/>
      <c r="P16" s="3036"/>
      <c r="Q16" s="3036"/>
      <c r="R16" s="3036"/>
      <c r="S16" s="3036"/>
      <c r="T16" s="3036"/>
      <c r="U16" s="3036"/>
      <c r="V16" s="3036"/>
      <c r="W16" s="3036"/>
      <c r="X16" s="3036"/>
      <c r="Y16" s="3036"/>
      <c r="Z16" s="1618"/>
      <c r="AA16" s="1620"/>
      <c r="AB16" s="1618"/>
    </row>
    <row r="17" spans="1:28" ht="14.25" customHeight="1">
      <c r="A17" s="1618"/>
      <c r="B17" s="1618"/>
      <c r="C17" s="1618"/>
      <c r="D17" s="1618"/>
      <c r="E17" s="1618"/>
      <c r="F17" s="1618"/>
      <c r="G17" s="1618"/>
      <c r="H17" s="1618"/>
      <c r="I17" s="1618"/>
      <c r="J17" s="1618"/>
      <c r="K17" s="1618"/>
      <c r="L17" s="1618"/>
      <c r="M17" s="1618"/>
      <c r="N17" s="1618"/>
      <c r="O17" s="1618"/>
      <c r="P17" s="1618"/>
      <c r="Q17" s="1618"/>
      <c r="R17" s="1618"/>
      <c r="S17" s="1618"/>
      <c r="T17" s="1618"/>
      <c r="U17" s="1618"/>
      <c r="V17" s="1618"/>
      <c r="W17" s="1618"/>
      <c r="X17" s="1618"/>
      <c r="Y17" s="1619"/>
      <c r="Z17" s="1618"/>
      <c r="AA17" s="1620"/>
      <c r="AB17" s="1618"/>
    </row>
    <row r="18" spans="1:28" ht="14.25" customHeight="1">
      <c r="A18" s="1618"/>
      <c r="B18" s="1618"/>
      <c r="C18" s="1618"/>
      <c r="D18" s="1618"/>
      <c r="E18" s="1618"/>
      <c r="F18" s="1618"/>
      <c r="G18" s="1618"/>
      <c r="H18" s="1618"/>
      <c r="I18" s="1618"/>
      <c r="J18" s="1618"/>
      <c r="K18" s="1618"/>
      <c r="L18" s="1618"/>
      <c r="M18" s="1618"/>
      <c r="N18" s="1618"/>
      <c r="O18" s="1618"/>
      <c r="P18" s="1618"/>
      <c r="Q18" s="1618"/>
      <c r="R18" s="1618"/>
      <c r="S18" s="1618"/>
      <c r="T18" s="1618"/>
      <c r="U18" s="1618"/>
      <c r="V18" s="1618"/>
      <c r="W18" s="1618"/>
      <c r="X18" s="1618"/>
      <c r="Y18" s="1619"/>
      <c r="Z18" s="1618"/>
      <c r="AA18" s="1620"/>
      <c r="AB18" s="1618"/>
    </row>
    <row r="19" spans="1:28" ht="14.25" customHeight="1">
      <c r="A19" s="1618"/>
      <c r="B19" s="1618"/>
      <c r="C19" s="1618"/>
      <c r="D19" s="1618"/>
      <c r="E19" s="1618"/>
      <c r="F19" s="1618"/>
      <c r="G19" s="1618"/>
      <c r="H19" s="1618"/>
      <c r="I19" s="1618"/>
      <c r="J19" s="1618"/>
      <c r="K19" s="1618"/>
      <c r="L19" s="1618"/>
      <c r="M19" s="1618"/>
      <c r="N19" s="1618"/>
      <c r="O19" s="1618"/>
      <c r="P19" s="1618"/>
      <c r="Q19" s="1618"/>
      <c r="R19" s="1618"/>
      <c r="S19" s="1618"/>
      <c r="T19" s="1618"/>
      <c r="U19" s="1618"/>
      <c r="V19" s="1618"/>
      <c r="W19" s="1618"/>
      <c r="X19" s="1618"/>
      <c r="Y19" s="1619"/>
      <c r="Z19" s="1618"/>
      <c r="AA19" s="1620"/>
      <c r="AB19" s="1618"/>
    </row>
    <row r="20" spans="1:28" ht="14.25" customHeight="1">
      <c r="A20" s="1618"/>
      <c r="B20" s="1618"/>
      <c r="C20" s="1618"/>
      <c r="D20" s="1618"/>
      <c r="E20" s="1618"/>
      <c r="F20" s="1618"/>
      <c r="G20" s="1618"/>
      <c r="H20" s="1618"/>
      <c r="I20" s="1618"/>
      <c r="J20" s="1618"/>
      <c r="K20" s="1618"/>
      <c r="L20" s="1618"/>
      <c r="M20" s="1618"/>
      <c r="N20" s="1618"/>
      <c r="O20" s="1618"/>
      <c r="P20" s="1618"/>
      <c r="Q20" s="1618"/>
      <c r="R20" s="1618"/>
      <c r="S20" s="1618"/>
      <c r="T20" s="1618"/>
      <c r="U20" s="1618"/>
      <c r="V20" s="1618"/>
      <c r="W20" s="1618"/>
      <c r="X20" s="1618"/>
      <c r="Y20" s="1619"/>
      <c r="Z20" s="1618"/>
      <c r="AA20" s="1620"/>
      <c r="AB20" s="1618"/>
    </row>
    <row r="21" spans="1:28" ht="14.25" customHeight="1">
      <c r="A21" s="1618"/>
      <c r="B21" s="1618"/>
      <c r="C21" s="1618"/>
      <c r="D21" s="1618"/>
      <c r="E21" s="1618"/>
      <c r="F21" s="1618"/>
      <c r="G21" s="1618"/>
      <c r="H21" s="1618"/>
      <c r="I21" s="1618"/>
      <c r="J21" s="1618"/>
      <c r="K21" s="1618"/>
      <c r="L21" s="1618"/>
      <c r="M21" s="1618"/>
      <c r="N21" s="1618"/>
      <c r="O21" s="1618"/>
      <c r="P21" s="1618"/>
      <c r="Q21" s="1618"/>
      <c r="R21" s="1618"/>
      <c r="S21" s="1618"/>
      <c r="T21" s="1618"/>
      <c r="U21" s="1618"/>
      <c r="V21" s="1618"/>
      <c r="W21" s="1618"/>
      <c r="X21" s="1618"/>
      <c r="Y21" s="1619"/>
      <c r="Z21" s="1618"/>
      <c r="AA21" s="1620"/>
      <c r="AB21" s="1618"/>
    </row>
  </sheetData>
  <sheetProtection formatColumns="0" formatRows="0" insertRows="0" deleteColumns="0" deleteRows="0" sort="0" autoFilter="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163959-A175-843F-D881-0106674680F9}">
  <sheetPr>
    <tabColor rgb="FFCCCCFF"/>
  </sheetPr>
  <dimension ref="A1:Q79"/>
  <sheetViews>
    <sheetView showGridLines="0" topLeftCell="C1" zoomScale="90" workbookViewId="0">
      <selection activeCell="I21" sqref="I21"/>
    </sheetView>
  </sheetViews>
  <sheetFormatPr defaultColWidth="9.09765625" defaultRowHeight="11.25" customHeight="1"/>
  <cols>
    <col min="1" max="1" width="10.69921875" style="2013" hidden="1" customWidth="1"/>
    <col min="2" max="2" width="10.69921875" style="2014" hidden="1" customWidth="1"/>
    <col min="3" max="3" width="3" style="2011" customWidth="1"/>
    <col min="4" max="4" width="1" style="2004" customWidth="1"/>
    <col min="5" max="6" width="55" style="2004" customWidth="1"/>
    <col min="7" max="7" width="1" style="2015" customWidth="1"/>
    <col min="8" max="8" width="18" style="2004" hidden="1" customWidth="1"/>
    <col min="9" max="9" width="59" style="2012" customWidth="1"/>
    <col min="10" max="10" width="52.09765625" style="2016" hidden="1" customWidth="1"/>
    <col min="11" max="11" width="8" style="2004" customWidth="1"/>
    <col min="12" max="12" width="77" style="2004" customWidth="1"/>
    <col min="13" max="16" width="8" style="2004" customWidth="1"/>
    <col min="17" max="17" width="12" style="2004" hidden="1" customWidth="1"/>
  </cols>
  <sheetData>
    <row r="1" spans="1:17" s="2001" customFormat="1" ht="3" customHeight="1">
      <c r="A1" s="711"/>
      <c r="B1" s="176"/>
      <c r="F1" s="177" t="s">
        <v>13</v>
      </c>
      <c r="G1" s="345"/>
      <c r="H1" s="9"/>
      <c r="I1" s="345"/>
      <c r="J1" s="795"/>
      <c r="Q1" s="177" t="s">
        <v>14</v>
      </c>
    </row>
    <row r="2" spans="1:17" s="2002" customFormat="1" ht="14.25" customHeight="1">
      <c r="A2" s="711"/>
      <c r="B2" s="36"/>
      <c r="E2" s="1656" t="str">
        <f>code</f>
        <v>Код отчёта: PP110.OPEN.INFO.REQUEST.HEAT.EIAS</v>
      </c>
      <c r="F2" s="204"/>
      <c r="G2" s="180"/>
      <c r="H2" s="180"/>
      <c r="I2" s="180"/>
      <c r="J2" s="796"/>
      <c r="K2" s="180"/>
      <c r="Q2" s="9">
        <v>14</v>
      </c>
    </row>
    <row r="3" spans="1:17" ht="14.65" customHeight="1">
      <c r="E3" s="181" t="str">
        <f>version</f>
        <v>Версия отчёта: 1.1.1</v>
      </c>
      <c r="F3" s="204"/>
      <c r="G3" s="699"/>
      <c r="H3" s="699"/>
      <c r="I3" s="699"/>
      <c r="J3" s="797"/>
      <c r="K3" s="26"/>
      <c r="Q3" s="12">
        <v>14</v>
      </c>
    </row>
    <row r="4" spans="1:17" s="2003" customFormat="1" ht="6.25" customHeight="1">
      <c r="A4" s="712"/>
      <c r="B4" s="167"/>
      <c r="C4" s="168"/>
      <c r="D4" s="169"/>
      <c r="E4" s="178"/>
      <c r="F4" s="179"/>
      <c r="G4" s="700"/>
      <c r="H4" s="343"/>
      <c r="I4" s="345"/>
      <c r="J4" s="798"/>
      <c r="Q4" s="171">
        <v>6</v>
      </c>
    </row>
    <row r="5" spans="1:17" ht="39.75" customHeight="1">
      <c r="D5" s="13"/>
      <c r="E5" s="3037" t="str">
        <f>NameTemplatesInTitle</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F5" s="3038"/>
      <c r="G5" s="701"/>
      <c r="J5" s="799"/>
      <c r="Q5" s="12">
        <v>38</v>
      </c>
    </row>
    <row r="6" spans="1:17" s="2003" customFormat="1" ht="6.25" customHeight="1">
      <c r="A6" s="712"/>
      <c r="B6" s="167"/>
      <c r="C6" s="168"/>
      <c r="D6" s="169"/>
      <c r="E6" s="172"/>
      <c r="F6" s="173"/>
      <c r="G6" s="701"/>
      <c r="H6" s="343"/>
      <c r="I6" s="345"/>
      <c r="J6" s="798"/>
      <c r="Q6" s="171">
        <v>6</v>
      </c>
    </row>
    <row r="7" spans="1:17" ht="21" customHeight="1">
      <c r="D7" s="13"/>
      <c r="E7" s="325" t="s">
        <v>15</v>
      </c>
      <c r="F7" s="150" t="s">
        <v>16</v>
      </c>
      <c r="G7" s="701"/>
      <c r="Q7" s="12">
        <v>20</v>
      </c>
    </row>
    <row r="8" spans="1:17" s="2003" customFormat="1" ht="6.25" customHeight="1">
      <c r="A8" s="713"/>
      <c r="B8" s="167"/>
      <c r="C8" s="168"/>
      <c r="D8" s="174"/>
      <c r="E8" s="172"/>
      <c r="F8" s="175"/>
      <c r="G8" s="15"/>
      <c r="H8" s="343"/>
      <c r="I8" s="345"/>
      <c r="J8" s="801"/>
      <c r="Q8" s="171">
        <v>6</v>
      </c>
    </row>
    <row r="9" spans="1:17" s="2004" customFormat="1" ht="19.5" hidden="1" customHeight="1">
      <c r="A9" s="712"/>
      <c r="B9" s="36"/>
      <c r="C9" s="342"/>
      <c r="D9" s="344"/>
      <c r="E9" s="1082" t="s">
        <v>17</v>
      </c>
      <c r="F9" s="1835"/>
      <c r="G9" s="701"/>
      <c r="I9" s="1814" t="str">
        <f>IF(TITLE_STRUCTURE_INFO_ROIV="","","раскрывается "&amp;INDEX(ROIV_INFO_COMMENT,MATCH(TITLE_STRUCTURE_INFO_ROIV,ROIV_INFO_LIST,0)))</f>
        <v/>
      </c>
      <c r="J9" s="800"/>
      <c r="Q9" s="343">
        <v>0</v>
      </c>
    </row>
    <row r="10" spans="1:17" s="2003" customFormat="1" ht="24" hidden="1" customHeight="1">
      <c r="A10" s="713"/>
      <c r="B10" s="360"/>
      <c r="C10" s="361"/>
      <c r="D10" s="174"/>
      <c r="E10" s="1082" t="s">
        <v>18</v>
      </c>
      <c r="F10" s="1977" t="s">
        <v>19</v>
      </c>
      <c r="G10" s="15"/>
      <c r="H10" s="343"/>
      <c r="I10" s="345"/>
      <c r="J10" s="801"/>
      <c r="Q10" s="364">
        <v>24</v>
      </c>
    </row>
    <row r="11" spans="1:17" ht="22.5" customHeight="1">
      <c r="A11" s="3040" t="s">
        <v>20</v>
      </c>
      <c r="D11" s="13"/>
      <c r="E11" s="1082" t="s">
        <v>21</v>
      </c>
      <c r="F11" s="2005">
        <v>45292</v>
      </c>
      <c r="G11" s="15"/>
      <c r="H11" s="702" t="s">
        <v>22</v>
      </c>
      <c r="J11" s="800" t="s">
        <v>23</v>
      </c>
      <c r="Q11" s="12">
        <v>0</v>
      </c>
    </row>
    <row r="12" spans="1:17" ht="22.5" customHeight="1">
      <c r="A12" s="3040"/>
      <c r="D12" s="13"/>
      <c r="E12" s="1082" t="s">
        <v>24</v>
      </c>
      <c r="F12" s="2005">
        <v>46022.846759259257</v>
      </c>
      <c r="G12" s="11"/>
      <c r="J12" s="800" t="s">
        <v>25</v>
      </c>
      <c r="Q12" s="12">
        <v>0</v>
      </c>
    </row>
    <row r="13" spans="1:17" s="2004" customFormat="1" ht="22.5" hidden="1" customHeight="1">
      <c r="A13" s="716" t="s">
        <v>26</v>
      </c>
      <c r="B13" s="36"/>
      <c r="C13" s="342"/>
      <c r="D13" s="344"/>
      <c r="E13" s="1691" t="s">
        <v>27</v>
      </c>
      <c r="F13" s="1648" t="s">
        <v>28</v>
      </c>
      <c r="G13" s="15"/>
      <c r="H13" s="699"/>
      <c r="I13" s="345"/>
      <c r="J13" s="1692" t="s">
        <v>29</v>
      </c>
      <c r="Q13" s="343">
        <v>0</v>
      </c>
    </row>
    <row r="14" spans="1:17" s="2004" customFormat="1" ht="27" hidden="1" customHeight="1">
      <c r="A14" s="716" t="s">
        <v>30</v>
      </c>
      <c r="B14" s="36"/>
      <c r="C14" s="342"/>
      <c r="D14" s="344"/>
      <c r="E14" s="1082" t="s">
        <v>31</v>
      </c>
      <c r="F14" s="1683"/>
      <c r="G14" s="15"/>
      <c r="H14" s="699"/>
      <c r="I14" s="345"/>
      <c r="J14" s="800" t="s">
        <v>32</v>
      </c>
      <c r="Q14" s="343">
        <v>0</v>
      </c>
    </row>
    <row r="15" spans="1:17" s="2004" customFormat="1" ht="19.5" hidden="1" customHeight="1">
      <c r="A15" s="716" t="s">
        <v>33</v>
      </c>
      <c r="B15" s="36"/>
      <c r="C15" s="342"/>
      <c r="D15" s="344"/>
      <c r="E15" s="1082" t="s">
        <v>34</v>
      </c>
      <c r="F15" s="1683"/>
      <c r="G15" s="15"/>
      <c r="H15" s="699"/>
      <c r="I15" s="345"/>
      <c r="J15" s="800" t="s">
        <v>35</v>
      </c>
      <c r="Q15" s="343">
        <v>0</v>
      </c>
    </row>
    <row r="16" spans="1:17" s="2003" customFormat="1" ht="6.25" customHeight="1">
      <c r="A16" s="713"/>
      <c r="B16" s="167"/>
      <c r="C16" s="168"/>
      <c r="D16" s="174"/>
      <c r="E16" s="172"/>
      <c r="F16" s="175"/>
      <c r="G16" s="15"/>
      <c r="H16" s="343"/>
      <c r="I16" s="345"/>
      <c r="J16" s="798"/>
      <c r="Q16" s="171">
        <v>6</v>
      </c>
    </row>
    <row r="17" spans="1:17" ht="21" customHeight="1">
      <c r="D17" s="13"/>
      <c r="E17" s="325" t="s">
        <v>36</v>
      </c>
      <c r="F17" s="2007" t="s">
        <v>37</v>
      </c>
      <c r="G17" s="11"/>
      <c r="H17" s="702" t="s">
        <v>22</v>
      </c>
      <c r="Q17" s="12">
        <v>20</v>
      </c>
    </row>
    <row r="18" spans="1:17" ht="25.5" customHeight="1">
      <c r="D18" s="13"/>
      <c r="E18" s="1691" t="s">
        <v>38</v>
      </c>
      <c r="F18" s="2008">
        <v>45658</v>
      </c>
      <c r="G18" s="11"/>
      <c r="I18" s="703"/>
      <c r="J18" s="3039" t="s">
        <v>39</v>
      </c>
      <c r="Q18" s="12">
        <v>0</v>
      </c>
    </row>
    <row r="19" spans="1:17" ht="25.5" customHeight="1">
      <c r="D19" s="13"/>
      <c r="E19" s="1082"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2008">
        <v>46022</v>
      </c>
      <c r="G19" s="11"/>
      <c r="I19" s="703"/>
      <c r="J19" s="3039"/>
      <c r="Q19" s="12">
        <v>0</v>
      </c>
    </row>
    <row r="20" spans="1:17" ht="22.5" customHeight="1">
      <c r="D20" s="13"/>
      <c r="E20" s="14"/>
      <c r="F20" s="205" t="str">
        <f>"Первичное "&amp;IF(TEMPLATE_GROUP="P","установление тарифов","предложение по тарифам")</f>
        <v>Первичное предложение по тарифам</v>
      </c>
      <c r="G20" s="11"/>
      <c r="I20" s="328"/>
      <c r="J20" s="799" t="s">
        <v>40</v>
      </c>
      <c r="Q20" s="12">
        <v>0</v>
      </c>
    </row>
    <row r="21" spans="1:17" ht="19.5" customHeight="1">
      <c r="D21" s="13"/>
      <c r="E21" s="325" t="str">
        <f>"Дата "&amp;IF(TEMPLATE_GROUP="P","документа","подачи заявления")&amp;" об утверждении тарифов"</f>
        <v>Дата подачи заявления об утверждении тарифов</v>
      </c>
      <c r="F21" s="2005">
        <v>45042</v>
      </c>
      <c r="G21" s="11"/>
      <c r="I21" s="704"/>
      <c r="Q21" s="12">
        <v>0</v>
      </c>
    </row>
    <row r="22" spans="1:17" ht="19.5" customHeight="1">
      <c r="D22" s="13"/>
      <c r="E22" s="325" t="str">
        <f>"Номер "&amp;IF(TEMPLATE_GROUP="P","документа","подачи заявления")&amp;" об утверждении тарифов"</f>
        <v>Номер подачи заявления об утверждении тарифов</v>
      </c>
      <c r="F22" s="151" t="s">
        <v>41</v>
      </c>
      <c r="G22" s="11"/>
      <c r="I22" s="704"/>
      <c r="Q22" s="12">
        <v>0</v>
      </c>
    </row>
    <row r="23" spans="1:17" ht="22.5" hidden="1" customHeight="1">
      <c r="D23" s="13"/>
      <c r="E23" s="325" t="s">
        <v>42</v>
      </c>
      <c r="F23" s="151"/>
      <c r="G23" s="11"/>
      <c r="Q23" s="12">
        <v>0</v>
      </c>
    </row>
    <row r="24" spans="1:17" ht="19.5" hidden="1" customHeight="1">
      <c r="D24" s="13"/>
      <c r="E24" s="325" t="s">
        <v>43</v>
      </c>
      <c r="F24" s="151"/>
      <c r="G24" s="11"/>
      <c r="Q24" s="12">
        <v>0</v>
      </c>
    </row>
    <row r="25" spans="1:17" ht="22.5" customHeight="1">
      <c r="D25" s="13"/>
      <c r="E25" s="14"/>
      <c r="F25" s="205" t="str">
        <f>"Изменение "&amp;IF(TEMPLATE_GROUP="P","тарифов","предложения по тарифам")</f>
        <v>Изменение предложения по тарифам</v>
      </c>
      <c r="G25" s="11"/>
      <c r="J25" s="799" t="s">
        <v>44</v>
      </c>
      <c r="Q25" s="12">
        <v>0</v>
      </c>
    </row>
    <row r="26" spans="1:17" ht="19.5" customHeight="1">
      <c r="D26" s="13"/>
      <c r="E26" s="325" t="str">
        <f>"Дата "&amp;IF(TEMPLATE_GROUP="P","принятия решения","подачи заявления")&amp;" об изменении тарифов"</f>
        <v>Дата подачи заявления об изменении тарифов</v>
      </c>
      <c r="F26" s="2008">
        <v>45408</v>
      </c>
      <c r="G26" s="11"/>
      <c r="Q26" s="12">
        <v>0</v>
      </c>
    </row>
    <row r="27" spans="1:17" ht="19.5" customHeight="1">
      <c r="D27" s="13"/>
      <c r="E27" s="1082" t="str">
        <f>"Номер "&amp;IF(TEMPLATE_GROUP="P","принятия решения","заявления")&amp;" об изменении тарифов"</f>
        <v>Номер заявления об изменении тарифов</v>
      </c>
      <c r="F27" s="2009" t="s">
        <v>45</v>
      </c>
      <c r="G27" s="11"/>
      <c r="Q27" s="12">
        <v>0</v>
      </c>
    </row>
    <row r="28" spans="1:17" ht="24.75" hidden="1" customHeight="1">
      <c r="D28" s="13"/>
      <c r="E28" s="325" t="s">
        <v>46</v>
      </c>
      <c r="F28" s="153"/>
      <c r="G28" s="11"/>
      <c r="Q28" s="12">
        <v>0</v>
      </c>
    </row>
    <row r="29" spans="1:17" ht="19.5" hidden="1" customHeight="1">
      <c r="D29" s="13"/>
      <c r="E29" s="325" t="s">
        <v>43</v>
      </c>
      <c r="F29" s="153"/>
      <c r="G29" s="11"/>
      <c r="Q29" s="12">
        <v>0</v>
      </c>
    </row>
    <row r="30" spans="1:17" s="2003" customFormat="1" ht="6.25" customHeight="1">
      <c r="A30" s="713"/>
      <c r="B30" s="167"/>
      <c r="C30" s="168"/>
      <c r="D30" s="174"/>
      <c r="E30" s="172"/>
      <c r="F30" s="175"/>
      <c r="G30" s="15"/>
      <c r="H30" s="343"/>
      <c r="I30" s="345"/>
      <c r="J30" s="798"/>
      <c r="Q30" s="171">
        <v>6</v>
      </c>
    </row>
    <row r="31" spans="1:17" ht="21" customHeight="1">
      <c r="C31" s="16"/>
      <c r="D31" s="17"/>
      <c r="E31" s="325" t="str">
        <f>"Наименование "&amp;IF(TEMPLATE_GROUP="ROIV","органа тарифного регулирования","ЮЛ / ИП")</f>
        <v>Наименование ЮЛ / ИП</v>
      </c>
      <c r="F31" s="152" t="s">
        <v>47</v>
      </c>
      <c r="G31" s="705"/>
      <c r="Q31" s="12">
        <v>20</v>
      </c>
    </row>
    <row r="32" spans="1:17" ht="21" hidden="1" customHeight="1">
      <c r="C32" s="16"/>
      <c r="D32" s="17"/>
      <c r="E32" s="326" t="s">
        <v>48</v>
      </c>
      <c r="F32" s="152"/>
      <c r="G32" s="705"/>
      <c r="Q32" s="12">
        <v>20</v>
      </c>
    </row>
    <row r="33" spans="1:17" ht="21" customHeight="1">
      <c r="C33" s="16"/>
      <c r="D33" s="17"/>
      <c r="E33" s="325" t="s">
        <v>49</v>
      </c>
      <c r="F33" s="152" t="s">
        <v>50</v>
      </c>
      <c r="G33" s="705"/>
      <c r="Q33" s="12">
        <v>20</v>
      </c>
    </row>
    <row r="34" spans="1:17" ht="21" customHeight="1">
      <c r="C34" s="16"/>
      <c r="D34" s="17"/>
      <c r="E34" s="325" t="s">
        <v>51</v>
      </c>
      <c r="F34" s="152" t="s">
        <v>52</v>
      </c>
      <c r="G34" s="705"/>
      <c r="H34" s="18"/>
      <c r="Q34" s="12">
        <v>20</v>
      </c>
    </row>
    <row r="35" spans="1:17" s="2003" customFormat="1" ht="11.5" customHeight="1">
      <c r="A35" s="713"/>
      <c r="B35" s="167"/>
      <c r="C35" s="168"/>
      <c r="D35" s="174"/>
      <c r="E35" s="172"/>
      <c r="F35" s="175"/>
      <c r="G35" s="15"/>
      <c r="H35" s="343"/>
      <c r="I35" s="345"/>
      <c r="J35" s="798"/>
      <c r="Q35" s="171">
        <v>11</v>
      </c>
    </row>
    <row r="36" spans="1:17" ht="19.5" customHeight="1">
      <c r="A36" s="803"/>
      <c r="D36" s="17"/>
      <c r="E36" s="325" t="s">
        <v>53</v>
      </c>
      <c r="F36" s="2010" t="s">
        <v>54</v>
      </c>
      <c r="G36" s="15"/>
      <c r="Q36" s="12">
        <v>0</v>
      </c>
    </row>
    <row r="37" spans="1:17" ht="21" customHeight="1">
      <c r="A37" s="803"/>
      <c r="D37" s="17"/>
      <c r="E37" s="325" t="s">
        <v>55</v>
      </c>
      <c r="F37" s="2010" t="s">
        <v>56</v>
      </c>
      <c r="G37" s="15"/>
      <c r="Q37" s="12">
        <v>20</v>
      </c>
    </row>
    <row r="38" spans="1:17" s="2003" customFormat="1" ht="6.25" customHeight="1">
      <c r="A38" s="713"/>
      <c r="B38" s="167"/>
      <c r="C38" s="168"/>
      <c r="D38" s="169"/>
      <c r="E38" s="170"/>
      <c r="F38" s="974"/>
      <c r="G38" s="11"/>
      <c r="H38" s="343"/>
      <c r="I38" s="345"/>
      <c r="J38" s="800"/>
      <c r="Q38" s="171">
        <v>6</v>
      </c>
    </row>
    <row r="39" spans="1:17" ht="36.75" customHeight="1">
      <c r="A39" s="713"/>
      <c r="D39" s="13"/>
      <c r="E39" s="325" t="s">
        <v>57</v>
      </c>
      <c r="F39" s="644" t="s">
        <v>19</v>
      </c>
      <c r="G39" s="11"/>
      <c r="H39" s="702" t="s">
        <v>22</v>
      </c>
      <c r="Q39" s="12">
        <v>35</v>
      </c>
    </row>
    <row r="40" spans="1:17" s="2003" customFormat="1" ht="6.25" hidden="1" customHeight="1">
      <c r="A40" s="712"/>
      <c r="B40" s="360"/>
      <c r="C40" s="361"/>
      <c r="D40" s="362"/>
      <c r="E40" s="363"/>
      <c r="F40" s="974"/>
      <c r="G40" s="11"/>
      <c r="H40" s="343"/>
      <c r="I40" s="345"/>
      <c r="J40" s="800"/>
      <c r="Q40" s="364">
        <v>6</v>
      </c>
    </row>
    <row r="41" spans="1:17" s="2004" customFormat="1" ht="26.25" hidden="1" customHeight="1">
      <c r="A41" s="716" t="s">
        <v>26</v>
      </c>
      <c r="B41" s="347"/>
      <c r="C41" s="342"/>
      <c r="D41" s="344"/>
      <c r="E41" s="325"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644" t="s">
        <v>19</v>
      </c>
      <c r="G41" s="11"/>
      <c r="I41" s="345"/>
      <c r="J41" s="800"/>
      <c r="Q41" s="343">
        <v>0</v>
      </c>
    </row>
    <row r="42" spans="1:17" s="2003" customFormat="1" ht="6" customHeight="1">
      <c r="A42" s="712"/>
      <c r="B42" s="360"/>
      <c r="C42" s="361"/>
      <c r="D42" s="362"/>
      <c r="E42" s="363"/>
      <c r="F42" s="974"/>
      <c r="G42" s="11"/>
      <c r="H42" s="343"/>
      <c r="I42" s="345"/>
      <c r="J42" s="798"/>
      <c r="Q42" s="364">
        <v>0</v>
      </c>
    </row>
    <row r="43" spans="1:17" s="2004" customFormat="1" ht="27" hidden="1" customHeight="1">
      <c r="A43" s="712"/>
      <c r="B43" s="347"/>
      <c r="C43" s="342"/>
      <c r="D43" s="344"/>
      <c r="E43" s="325" t="s">
        <v>58</v>
      </c>
      <c r="F43" s="644" t="s">
        <v>19</v>
      </c>
      <c r="G43" s="11"/>
      <c r="I43" s="345"/>
      <c r="J43" s="800"/>
      <c r="Q43" s="343">
        <v>0</v>
      </c>
    </row>
    <row r="44" spans="1:17" s="2004" customFormat="1" ht="27" hidden="1" customHeight="1">
      <c r="A44" s="712"/>
      <c r="B44" s="347"/>
      <c r="C44" s="342"/>
      <c r="D44" s="344"/>
      <c r="E44" s="1082" t="s">
        <v>59</v>
      </c>
      <c r="F44" s="1802"/>
      <c r="G44" s="11"/>
      <c r="I44" s="345"/>
      <c r="J44" s="800"/>
      <c r="Q44" s="343">
        <v>0</v>
      </c>
    </row>
    <row r="45" spans="1:17" s="2003" customFormat="1" ht="6" customHeight="1">
      <c r="A45" s="712"/>
      <c r="B45" s="360"/>
      <c r="C45" s="361"/>
      <c r="D45" s="362"/>
      <c r="E45" s="363"/>
      <c r="F45" s="974"/>
      <c r="G45" s="11"/>
      <c r="H45" s="343"/>
      <c r="I45" s="345"/>
      <c r="J45" s="800"/>
      <c r="Q45" s="364">
        <v>0</v>
      </c>
    </row>
    <row r="46" spans="1:17" s="2003" customFormat="1" ht="24.75" customHeight="1">
      <c r="A46" s="712"/>
      <c r="B46" s="360"/>
      <c r="C46" s="361"/>
      <c r="D46" s="362"/>
      <c r="E46" s="1082" t="s">
        <v>60</v>
      </c>
      <c r="F46" s="644" t="s">
        <v>19</v>
      </c>
      <c r="G46" s="11"/>
      <c r="H46" s="343"/>
      <c r="I46" s="345"/>
      <c r="J46" s="800"/>
      <c r="Q46" s="364">
        <v>0</v>
      </c>
    </row>
    <row r="47" spans="1:17" s="2004" customFormat="1" ht="24.75" customHeight="1">
      <c r="A47" s="712"/>
      <c r="B47" s="347"/>
      <c r="C47" s="342"/>
      <c r="D47" s="344"/>
      <c r="E47" s="1082" t="s">
        <v>61</v>
      </c>
      <c r="F47" s="644" t="s">
        <v>19</v>
      </c>
      <c r="G47" s="11"/>
      <c r="I47" s="345"/>
      <c r="J47" s="800"/>
      <c r="Q47" s="343">
        <v>0</v>
      </c>
    </row>
    <row r="48" spans="1:17" s="2003" customFormat="1" ht="6" hidden="1" customHeight="1">
      <c r="A48" s="712"/>
      <c r="B48" s="167"/>
      <c r="C48" s="168"/>
      <c r="D48" s="169"/>
      <c r="E48" s="170"/>
      <c r="F48" s="974"/>
      <c r="G48" s="11"/>
      <c r="H48" s="343"/>
      <c r="I48" s="345"/>
      <c r="J48" s="800"/>
      <c r="Q48" s="171">
        <v>0</v>
      </c>
    </row>
    <row r="49" spans="1:17" ht="29.25" hidden="1" customHeight="1">
      <c r="B49" s="84"/>
      <c r="D49" s="13"/>
      <c r="E49" s="325"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644"/>
      <c r="G49" s="11"/>
      <c r="Q49" s="12">
        <v>0</v>
      </c>
    </row>
    <row r="50" spans="1:17" s="2003" customFormat="1" ht="6" hidden="1" customHeight="1">
      <c r="A50" s="713"/>
      <c r="B50" s="360"/>
      <c r="C50" s="361"/>
      <c r="D50" s="174"/>
      <c r="E50" s="172"/>
      <c r="F50" s="175"/>
      <c r="G50" s="15"/>
      <c r="H50" s="343"/>
      <c r="I50" s="345"/>
      <c r="J50" s="800"/>
      <c r="Q50" s="364">
        <v>0</v>
      </c>
    </row>
    <row r="51" spans="1:17" s="2004" customFormat="1" ht="28.5" hidden="1" customHeight="1">
      <c r="A51" s="714"/>
      <c r="B51" s="347"/>
      <c r="C51" s="464"/>
      <c r="D51" s="465"/>
      <c r="E51" s="325" t="s">
        <v>62</v>
      </c>
      <c r="F51" s="644" t="s">
        <v>19</v>
      </c>
      <c r="G51" s="466"/>
      <c r="I51" s="468"/>
      <c r="J51" s="802"/>
      <c r="P51" s="469"/>
      <c r="Q51" s="467">
        <v>0</v>
      </c>
    </row>
    <row r="52" spans="1:17" s="2003" customFormat="1" ht="6" hidden="1" customHeight="1">
      <c r="A52" s="713"/>
      <c r="B52" s="360"/>
      <c r="C52" s="361"/>
      <c r="D52" s="174"/>
      <c r="E52" s="172"/>
      <c r="F52" s="175"/>
      <c r="G52" s="15"/>
      <c r="H52" s="343"/>
      <c r="I52" s="345"/>
      <c r="J52" s="798"/>
      <c r="Q52" s="364">
        <v>0</v>
      </c>
    </row>
    <row r="53" spans="1:17" s="2004" customFormat="1" ht="27" hidden="1" customHeight="1">
      <c r="A53" s="714"/>
      <c r="B53" s="347"/>
      <c r="C53" s="464"/>
      <c r="D53" s="465"/>
      <c r="E53" s="325" t="s">
        <v>63</v>
      </c>
      <c r="F53" s="969" t="s">
        <v>19</v>
      </c>
      <c r="G53" s="466"/>
      <c r="I53" s="468"/>
      <c r="J53" s="802"/>
      <c r="P53" s="469"/>
      <c r="Q53" s="467">
        <v>0</v>
      </c>
    </row>
    <row r="54" spans="1:17" s="2004" customFormat="1" ht="27" hidden="1" customHeight="1">
      <c r="A54" s="714"/>
      <c r="B54" s="347"/>
      <c r="C54" s="464"/>
      <c r="D54" s="465"/>
      <c r="E54" s="325" t="s">
        <v>64</v>
      </c>
      <c r="F54" s="1690"/>
      <c r="G54" s="466"/>
      <c r="I54" s="468"/>
      <c r="J54" s="802"/>
      <c r="P54" s="469"/>
      <c r="Q54" s="467">
        <v>0</v>
      </c>
    </row>
    <row r="55" spans="1:17" s="2003" customFormat="1" ht="6" hidden="1" customHeight="1">
      <c r="A55" s="713"/>
      <c r="B55" s="360"/>
      <c r="C55" s="361"/>
      <c r="D55" s="174"/>
      <c r="E55" s="172"/>
      <c r="F55" s="175"/>
      <c r="G55" s="15"/>
      <c r="H55" s="343"/>
      <c r="I55" s="345"/>
      <c r="J55" s="798"/>
      <c r="Q55" s="364">
        <v>0</v>
      </c>
    </row>
    <row r="56" spans="1:17" s="2004" customFormat="1" ht="25.5" hidden="1" customHeight="1">
      <c r="A56" s="714"/>
      <c r="B56" s="347"/>
      <c r="C56" s="464"/>
      <c r="D56" s="465"/>
      <c r="E56" s="325" t="s">
        <v>65</v>
      </c>
      <c r="F56" s="969" t="s">
        <v>19</v>
      </c>
      <c r="G56" s="466"/>
      <c r="I56" s="468"/>
      <c r="J56" s="802"/>
      <c r="P56" s="469"/>
      <c r="Q56" s="467">
        <v>0</v>
      </c>
    </row>
    <row r="57" spans="1:17" s="2003" customFormat="1" ht="6" hidden="1" customHeight="1">
      <c r="A57" s="713"/>
      <c r="B57" s="360"/>
      <c r="C57" s="361"/>
      <c r="D57" s="174"/>
      <c r="E57" s="172"/>
      <c r="F57" s="175"/>
      <c r="G57" s="15"/>
      <c r="H57" s="343"/>
      <c r="I57" s="345"/>
      <c r="J57" s="798"/>
      <c r="Q57" s="364">
        <v>0</v>
      </c>
    </row>
    <row r="58" spans="1:17" s="2004" customFormat="1" ht="15" hidden="1" customHeight="1">
      <c r="A58" s="714"/>
      <c r="B58" s="347"/>
      <c r="C58" s="464"/>
      <c r="D58" s="465"/>
      <c r="E58" s="325" t="s">
        <v>66</v>
      </c>
      <c r="F58" s="969" t="s">
        <v>67</v>
      </c>
      <c r="G58" s="466"/>
      <c r="I58" s="468"/>
      <c r="J58" s="802"/>
      <c r="P58" s="469"/>
      <c r="Q58" s="467">
        <v>0</v>
      </c>
    </row>
    <row r="59" spans="1:17" s="2004" customFormat="1" ht="75" hidden="1" customHeight="1">
      <c r="A59" s="714"/>
      <c r="B59" s="347"/>
      <c r="C59" s="464"/>
      <c r="D59" s="465"/>
      <c r="E59" s="325"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06"/>
      <c r="G59" s="466"/>
      <c r="I59" s="468"/>
      <c r="J59" s="802"/>
      <c r="P59" s="469"/>
      <c r="Q59" s="467">
        <v>0</v>
      </c>
    </row>
    <row r="60" spans="1:17" s="2004" customFormat="1" ht="15" hidden="1" customHeight="1">
      <c r="A60" s="714"/>
      <c r="B60" s="347"/>
      <c r="C60" s="464"/>
      <c r="D60" s="465"/>
      <c r="E60" s="1082" t="s">
        <v>68</v>
      </c>
      <c r="F60" s="1068"/>
      <c r="G60" s="466"/>
      <c r="I60" s="468"/>
      <c r="J60" s="802"/>
      <c r="P60" s="469"/>
      <c r="Q60" s="467">
        <v>0</v>
      </c>
    </row>
    <row r="61" spans="1:17" s="2003" customFormat="1" ht="6" hidden="1" customHeight="1">
      <c r="A61" s="713"/>
      <c r="B61" s="360"/>
      <c r="C61" s="361"/>
      <c r="D61" s="362"/>
      <c r="E61" s="363"/>
      <c r="F61" s="974"/>
      <c r="G61" s="11"/>
      <c r="H61" s="343"/>
      <c r="I61" s="345"/>
      <c r="J61" s="800"/>
      <c r="Q61" s="364">
        <v>0</v>
      </c>
    </row>
    <row r="62" spans="1:17" s="2004" customFormat="1" ht="33.75" hidden="1" customHeight="1">
      <c r="A62" s="713"/>
      <c r="B62" s="36"/>
      <c r="C62" s="342"/>
      <c r="D62" s="344"/>
      <c r="E62" s="1082" t="s">
        <v>69</v>
      </c>
      <c r="F62" s="1588" t="s">
        <v>67</v>
      </c>
      <c r="G62" s="11"/>
      <c r="H62" s="702" t="s">
        <v>22</v>
      </c>
      <c r="I62" s="345"/>
      <c r="J62" s="800"/>
      <c r="Q62" s="343">
        <v>0</v>
      </c>
    </row>
    <row r="63" spans="1:17" s="2003" customFormat="1" ht="6.25" customHeight="1">
      <c r="A63" s="713"/>
      <c r="B63" s="167"/>
      <c r="C63" s="168"/>
      <c r="D63" s="174"/>
      <c r="E63" s="172"/>
      <c r="F63" s="175"/>
      <c r="G63" s="15"/>
      <c r="H63" s="343"/>
      <c r="I63" s="345"/>
      <c r="J63" s="798"/>
      <c r="Q63" s="171">
        <v>6</v>
      </c>
    </row>
    <row r="64" spans="1:17" ht="21" customHeight="1">
      <c r="A64" s="715"/>
      <c r="B64" s="37"/>
      <c r="D64" s="20"/>
      <c r="E64" s="325" t="s">
        <v>70</v>
      </c>
      <c r="F64" s="151" t="s">
        <v>71</v>
      </c>
      <c r="G64" s="15"/>
      <c r="Q64" s="12">
        <v>20</v>
      </c>
    </row>
    <row r="65" spans="1:17" ht="21" customHeight="1">
      <c r="A65" s="715"/>
      <c r="B65" s="37"/>
      <c r="D65" s="20"/>
      <c r="E65" s="325" t="s">
        <v>72</v>
      </c>
      <c r="F65" s="151" t="s">
        <v>73</v>
      </c>
      <c r="G65" s="15"/>
      <c r="Q65" s="12">
        <v>20</v>
      </c>
    </row>
    <row r="66" spans="1:17" ht="36.75" customHeight="1">
      <c r="D66" s="13"/>
      <c r="E66" s="327" t="s">
        <v>74</v>
      </c>
      <c r="F66" s="975"/>
      <c r="G66" s="11"/>
      <c r="Q66" s="12">
        <v>35</v>
      </c>
    </row>
    <row r="67" spans="1:17" ht="21" customHeight="1">
      <c r="A67" s="715"/>
      <c r="D67" s="344"/>
      <c r="E67" s="325" t="s">
        <v>75</v>
      </c>
      <c r="F67" s="206" t="s">
        <v>76</v>
      </c>
      <c r="G67" s="15"/>
      <c r="Q67" s="12">
        <v>20</v>
      </c>
    </row>
    <row r="68" spans="1:17" ht="21" customHeight="1">
      <c r="A68" s="715"/>
      <c r="B68" s="37"/>
      <c r="D68" s="20"/>
      <c r="E68" s="325" t="s">
        <v>77</v>
      </c>
      <c r="F68" s="206" t="s">
        <v>78</v>
      </c>
      <c r="G68" s="15"/>
      <c r="Q68" s="12">
        <v>20</v>
      </c>
    </row>
    <row r="69" spans="1:17" ht="21" customHeight="1">
      <c r="A69" s="715"/>
      <c r="B69" s="37"/>
      <c r="D69" s="20"/>
      <c r="E69" s="325" t="s">
        <v>79</v>
      </c>
      <c r="F69" s="206" t="s">
        <v>80</v>
      </c>
      <c r="G69" s="15"/>
      <c r="Q69" s="12">
        <v>20</v>
      </c>
    </row>
    <row r="70" spans="1:17" ht="21" customHeight="1">
      <c r="D70" s="344"/>
      <c r="E70" s="325" t="s">
        <v>81</v>
      </c>
      <c r="F70" s="206" t="s">
        <v>82</v>
      </c>
      <c r="G70" s="11"/>
      <c r="Q70" s="12">
        <v>20</v>
      </c>
    </row>
    <row r="71" spans="1:17" ht="21" customHeight="1">
      <c r="A71" s="715"/>
      <c r="D71" s="11"/>
      <c r="F71" s="70"/>
      <c r="G71" s="15"/>
      <c r="Q71" s="12">
        <v>20</v>
      </c>
    </row>
    <row r="72" spans="1:17" ht="21" customHeight="1">
      <c r="A72" s="715"/>
      <c r="B72" s="37"/>
      <c r="D72" s="20"/>
      <c r="E72" s="19"/>
      <c r="F72" s="954" t="s">
        <v>13</v>
      </c>
      <c r="G72" s="15"/>
      <c r="Q72" s="12">
        <v>20</v>
      </c>
    </row>
    <row r="73" spans="1:17" ht="21" customHeight="1">
      <c r="A73" s="715"/>
      <c r="B73" s="37"/>
      <c r="D73" s="20"/>
      <c r="E73" s="19"/>
      <c r="F73" s="71"/>
      <c r="G73" s="15"/>
      <c r="Q73" s="12">
        <v>20</v>
      </c>
    </row>
    <row r="74" spans="1:17" ht="21" customHeight="1">
      <c r="A74" s="715"/>
      <c r="B74" s="37"/>
      <c r="D74" s="20"/>
      <c r="E74" s="24"/>
      <c r="F74" s="71"/>
      <c r="G74" s="15"/>
      <c r="Q74" s="12">
        <v>20</v>
      </c>
    </row>
    <row r="75" spans="1:17" ht="21" customHeight="1">
      <c r="A75" s="715"/>
      <c r="B75" s="37"/>
      <c r="D75" s="20"/>
      <c r="E75" s="19"/>
      <c r="F75" s="71"/>
      <c r="G75" s="15"/>
      <c r="Q75" s="12">
        <v>20</v>
      </c>
    </row>
    <row r="76" spans="1:17" ht="11.5" customHeight="1">
      <c r="Q76" s="12">
        <v>11</v>
      </c>
    </row>
    <row r="77" spans="1:17" ht="11.5" customHeight="1">
      <c r="Q77" s="12">
        <v>11</v>
      </c>
    </row>
    <row r="78" spans="1:17" ht="11.5" customHeight="1">
      <c r="E78" s="324"/>
      <c r="F78" s="324"/>
      <c r="G78" s="324"/>
      <c r="H78" s="324"/>
      <c r="I78" s="324"/>
      <c r="Q78" s="12">
        <v>11</v>
      </c>
    </row>
    <row r="79" spans="1:17" ht="11.25" hidden="1" customHeight="1">
      <c r="A79" s="712" t="s">
        <v>83</v>
      </c>
      <c r="B79" s="36">
        <v>0</v>
      </c>
      <c r="C79" s="10">
        <v>3</v>
      </c>
      <c r="D79" s="12">
        <v>1</v>
      </c>
      <c r="E79" s="12">
        <v>55</v>
      </c>
      <c r="F79" s="12">
        <v>54</v>
      </c>
      <c r="G79" s="700">
        <v>1</v>
      </c>
      <c r="H79" s="343">
        <v>0</v>
      </c>
      <c r="I79" s="345">
        <v>59</v>
      </c>
      <c r="J79" s="800">
        <v>0</v>
      </c>
      <c r="K79" s="12">
        <v>8</v>
      </c>
      <c r="L79" s="12">
        <v>77</v>
      </c>
      <c r="M79" s="12">
        <v>8</v>
      </c>
      <c r="N79" s="12">
        <v>8</v>
      </c>
      <c r="O79" s="12">
        <v>8</v>
      </c>
      <c r="P79" s="12">
        <v>8</v>
      </c>
      <c r="Q79" s="12">
        <v>11</v>
      </c>
    </row>
  </sheetData>
  <sheetProtection formatColumns="0" formatRows="0" insertRows="0" deleteColumns="0" deleteRows="0" sort="0" autoFilter="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xr:uid="{00000000-0002-0000-0100-000000000000}">
      <formula1>900</formula1>
    </dataValidation>
    <dataValidation type="list" allowBlank="1" showInputMessage="1" showErrorMessage="1" errorTitle="Ошибка" error="Выберите значение из списка" prompt="Выберите значение из списка" sqref="F61 F38" xr:uid="{00000000-0002-0000-0100-000001000000}">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xr:uid="{00000000-0002-0000-0100-000002000000}"/>
    <dataValidation type="list" allowBlank="1" showInputMessage="1" showErrorMessage="1" errorTitle="Ошибка" error="Выберите значение из списка" prompt="Выберите значение из списка" sqref="F17" xr:uid="{00000000-0002-0000-0100-000003000000}">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xr:uid="{00000000-0002-0000-0100-000004000000}"/>
    <dataValidation type="list" allowBlank="1" showInputMessage="1" showErrorMessage="1" errorTitle="Ошибка" error="Выберите значение из списка" prompt="Выберите значение из списка" sqref="F36" xr:uid="{00000000-0002-0000-0100-000005000000}">
      <formula1>kind_of_org_type</formula1>
    </dataValidation>
    <dataValidation type="list" allowBlank="1" showInputMessage="1" showErrorMessage="1" errorTitle="Ошибка" error="Выберите значение из списка" prompt="Выберите значение из списка" sqref="F14" xr:uid="{00000000-0002-0000-0100-000006000000}">
      <formula1>year_list</formula1>
    </dataValidation>
    <dataValidation type="list" allowBlank="1" showInputMessage="1" showErrorMessage="1" errorTitle="Ошибка" error="Выберите значение из списка" prompt="Выберите значение из списка" sqref="F15" xr:uid="{00000000-0002-0000-0100-000007000000}">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xr:uid="{00000000-0002-0000-0100-000008000000}"/>
    <dataValidation type="list" allowBlank="1" showInputMessage="1" showErrorMessage="1" errorTitle="Ошибка" error="Выберите значение из списка" prompt="Выберите значение из списка" sqref="F60" xr:uid="{00000000-0002-0000-0100-00000900000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xr:uid="{00000000-0002-0000-0100-00000A000000}">
      <formula1>ROIV_INFO_LIST</formula1>
    </dataValidation>
    <dataValidation allowBlank="1" showInputMessage="1" showErrorMessage="1" prompt="Выбор организации двойным щелчком левой клавиши мыши" sqref="F31" xr:uid="{00000000-0002-0000-0100-00000B000000}"/>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xr:uid="{00000000-0002-0000-0100-00000C000000}">
      <formula1>kind_of_NDS</formula1>
    </dataValidation>
  </dataValidations>
  <hyperlinks>
    <hyperlink ref="H11" location="Титульный!H9" tooltip="Помощь по работе с полями отчётной формы" display="Как заполнить?" xr:uid="{0E60B9AD-98A3-E71F-5384-AB9223373589}"/>
    <hyperlink ref="H17" location="Титульный!H9" tooltip="Помощь по работе с полями отчётной формы" display="Как заполнить?" xr:uid="{19A78293-7D33-8F83-DE0C-F04D6B351A6B}"/>
    <hyperlink ref="H39" location="Титульный!H9" tooltip="Помощь по работе с полями отчётной формы" display="Как заполнить?" xr:uid="{2C072D4A-CD99-E466-231F-AA2AC315CB47}"/>
    <hyperlink ref="H62" location="Титульный!H9" tooltip="Помощь по работе с полями отчётной формы" display="Как заполнить?" xr:uid="{2248084E-B67F-3E7B-6A5D-2AAB4EF4A726}"/>
  </hyperlinks>
  <pageMargins left="0.75" right="0.75" top="1" bottom="1" header="0.5" footer="0.5"/>
  <pageSetup paperSize="8" orientation="portrait"/>
  <headerFooter>
    <oddHeader>&amp;L&amp;C&amp;R</oddHeader>
    <oddFooter>&amp;L&amp;C&amp;R</oddFooter>
    <evenHeader>&amp;L&amp;C&amp;R</evenHeader>
    <evenFooter>&amp;L&amp;C&amp;R</evenFooter>
  </headerFooter>
  <drawing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E8F36A-3D11-1E4F-3FB1-BF7734A85ACF}">
  <sheetPr>
    <tabColor rgb="FFCCCCFF"/>
    <pageSetUpPr fitToPage="1"/>
  </sheetPr>
  <dimension ref="A1:AC38"/>
  <sheetViews>
    <sheetView showGridLines="0" topLeftCell="C2" zoomScale="90" workbookViewId="0">
      <selection activeCell="G21" sqref="G21"/>
    </sheetView>
  </sheetViews>
  <sheetFormatPr defaultColWidth="9.09765625" defaultRowHeight="14.25" customHeight="1"/>
  <cols>
    <col min="1" max="1" width="8" style="2004" hidden="1" customWidth="1"/>
    <col min="2" max="2" width="6" style="2016" hidden="1" customWidth="1"/>
    <col min="3" max="3" width="3" style="2004" customWidth="1"/>
    <col min="4" max="4" width="3" style="2026" customWidth="1"/>
    <col min="5" max="5" width="6" style="2004" customWidth="1"/>
    <col min="6" max="6" width="2.69921875" style="2004" hidden="1" customWidth="1"/>
    <col min="7" max="7" width="46.69921875" style="2004" customWidth="1"/>
    <col min="8" max="8" width="42" style="2004" customWidth="1"/>
    <col min="9" max="9" width="14" style="2004" customWidth="1"/>
    <col min="10" max="10" width="3" style="2022" customWidth="1"/>
    <col min="11" max="13" width="9.09765625" style="2022" hidden="1"/>
    <col min="14" max="14" width="25.69921875" style="2022" hidden="1" customWidth="1"/>
    <col min="15" max="15" width="14.3984375" style="2022" hidden="1" customWidth="1"/>
    <col min="16" max="19" width="9.09765625" style="2020" hidden="1"/>
    <col min="20" max="27" width="9.09765625" style="2004" hidden="1"/>
    <col min="28" max="28" width="8" style="2004" customWidth="1"/>
    <col min="29" max="29" width="9.09765625" style="2004" hidden="1"/>
  </cols>
  <sheetData>
    <row r="1" spans="1:29" s="2017" customFormat="1" ht="5.25" hidden="1" customHeight="1">
      <c r="A1" s="430"/>
      <c r="B1" s="445"/>
      <c r="C1" s="445"/>
      <c r="D1" s="156"/>
      <c r="F1" s="445"/>
      <c r="G1" s="182" t="s">
        <v>84</v>
      </c>
      <c r="H1" s="428" t="s">
        <v>85</v>
      </c>
      <c r="I1" s="162" t="s">
        <v>86</v>
      </c>
      <c r="J1" s="182" t="s">
        <v>84</v>
      </c>
      <c r="K1" s="182"/>
      <c r="L1" s="182"/>
      <c r="M1" s="182"/>
      <c r="N1" s="183"/>
      <c r="O1" s="182"/>
      <c r="P1" s="182"/>
      <c r="Q1" s="182"/>
      <c r="R1" s="182"/>
      <c r="S1" s="182"/>
      <c r="T1" s="162"/>
      <c r="U1" s="162"/>
      <c r="V1" s="162"/>
      <c r="W1" s="162"/>
      <c r="X1" s="162"/>
      <c r="Y1" s="162"/>
      <c r="Z1" s="162"/>
      <c r="AA1" s="162"/>
      <c r="AB1" s="162"/>
      <c r="AC1" s="88" t="s">
        <v>14</v>
      </c>
    </row>
    <row r="2" spans="1:29" s="2018" customFormat="1" ht="11.25" customHeight="1">
      <c r="A2" s="759"/>
      <c r="B2" s="163"/>
      <c r="C2" s="163"/>
      <c r="D2" s="164"/>
      <c r="E2" s="163"/>
      <c r="F2" s="163"/>
      <c r="G2" s="163"/>
      <c r="H2" s="163"/>
      <c r="I2" s="163"/>
      <c r="J2" s="182"/>
      <c r="K2" s="182"/>
      <c r="L2" s="182"/>
      <c r="M2" s="182"/>
      <c r="N2" s="183"/>
      <c r="O2" s="182"/>
      <c r="P2" s="165"/>
      <c r="Q2" s="165"/>
      <c r="R2" s="165"/>
      <c r="S2" s="165"/>
      <c r="T2" s="164"/>
      <c r="U2" s="164"/>
      <c r="V2" s="164"/>
      <c r="W2" s="164"/>
      <c r="X2" s="164"/>
      <c r="Y2" s="164"/>
      <c r="Z2" s="164"/>
      <c r="AA2" s="164"/>
      <c r="AB2" s="164"/>
      <c r="AC2" s="166">
        <v>11</v>
      </c>
    </row>
    <row r="3" spans="1:29" s="2019" customFormat="1" ht="3" customHeight="1">
      <c r="A3" s="690"/>
      <c r="B3" s="351"/>
      <c r="C3" s="690"/>
      <c r="D3" s="99"/>
      <c r="E3" s="41"/>
      <c r="F3" s="443"/>
      <c r="G3" s="41"/>
      <c r="H3" s="41"/>
      <c r="I3" s="101"/>
      <c r="J3" s="182"/>
      <c r="K3" s="91"/>
      <c r="L3" s="91"/>
      <c r="M3" s="91"/>
      <c r="N3" s="161"/>
      <c r="O3" s="91"/>
      <c r="P3" s="160"/>
      <c r="Q3" s="160"/>
      <c r="R3" s="160"/>
      <c r="S3" s="160"/>
      <c r="AC3" s="54">
        <v>3</v>
      </c>
    </row>
    <row r="4" spans="1:29" s="2019" customFormat="1" ht="27.25" customHeight="1">
      <c r="A4" s="690"/>
      <c r="B4" s="351"/>
      <c r="C4" s="690"/>
      <c r="D4" s="99"/>
      <c r="E4" s="3043" t="str">
        <f>NameTemplatesInListMO</f>
        <v>Перечень муниципальных районов и муниципальных образований (территорий действия тарифа)</v>
      </c>
      <c r="F4" s="3043"/>
      <c r="G4" s="3043"/>
      <c r="H4" s="3043"/>
      <c r="I4" s="3043"/>
      <c r="J4" s="182"/>
      <c r="K4" s="91"/>
      <c r="L4" s="91"/>
      <c r="M4" s="91"/>
      <c r="N4" s="161"/>
      <c r="O4" s="91"/>
      <c r="P4" s="160"/>
      <c r="Q4" s="160"/>
      <c r="R4" s="160"/>
      <c r="S4" s="160"/>
      <c r="AC4" s="54">
        <v>26</v>
      </c>
    </row>
    <row r="5" spans="1:29" s="2019" customFormat="1" ht="3" customHeight="1">
      <c r="A5" s="690"/>
      <c r="B5" s="351"/>
      <c r="C5" s="690"/>
      <c r="D5" s="99"/>
      <c r="E5" s="41"/>
      <c r="F5" s="443"/>
      <c r="G5" s="102"/>
      <c r="H5" s="102"/>
      <c r="I5" s="103"/>
      <c r="J5" s="91"/>
      <c r="K5" s="91"/>
      <c r="L5" s="91"/>
      <c r="M5" s="91"/>
      <c r="N5" s="161"/>
      <c r="O5" s="91"/>
      <c r="P5" s="160"/>
      <c r="Q5" s="160"/>
      <c r="R5" s="160"/>
      <c r="S5" s="160"/>
      <c r="AC5" s="54">
        <v>3</v>
      </c>
    </row>
    <row r="6" spans="1:29" s="2019" customFormat="1" ht="20.25" hidden="1" customHeight="1">
      <c r="A6" s="765"/>
      <c r="B6" s="761"/>
      <c r="C6" s="104"/>
      <c r="D6" s="99"/>
      <c r="E6" s="708"/>
      <c r="F6" s="708"/>
      <c r="G6" s="102"/>
      <c r="H6" s="105"/>
      <c r="I6" s="105"/>
      <c r="J6" s="91"/>
      <c r="K6" s="91"/>
      <c r="L6" s="91"/>
      <c r="M6" s="91"/>
      <c r="N6" s="161"/>
      <c r="O6" s="91"/>
      <c r="P6" s="160"/>
      <c r="Q6" s="160"/>
      <c r="R6" s="160"/>
      <c r="S6" s="160"/>
      <c r="AC6" s="54">
        <v>0</v>
      </c>
    </row>
    <row r="7" spans="1:29" ht="25.5" hidden="1" customHeight="1">
      <c r="AC7" s="21">
        <v>0</v>
      </c>
    </row>
    <row r="8" spans="1:29" s="2019" customFormat="1" ht="14.65" customHeight="1">
      <c r="A8" s="690"/>
      <c r="B8" s="351"/>
      <c r="C8" s="690"/>
      <c r="D8" s="99"/>
      <c r="E8" s="3038" t="s">
        <v>87</v>
      </c>
      <c r="F8" s="3044"/>
      <c r="G8" s="3037"/>
      <c r="H8" s="3045" t="s">
        <v>88</v>
      </c>
      <c r="I8" s="3045"/>
      <c r="J8" s="91"/>
      <c r="K8" s="91"/>
      <c r="L8" s="91"/>
      <c r="M8" s="91"/>
      <c r="N8" s="161"/>
      <c r="O8" s="91"/>
      <c r="P8" s="160"/>
      <c r="Q8" s="160"/>
      <c r="R8" s="160"/>
      <c r="S8" s="160"/>
      <c r="AC8" s="54">
        <v>14</v>
      </c>
    </row>
    <row r="9" spans="1:29" s="2019" customFormat="1" ht="21" customHeight="1">
      <c r="A9" s="690"/>
      <c r="B9" s="351"/>
      <c r="C9" s="690"/>
      <c r="D9" s="99"/>
      <c r="E9" s="706" t="s">
        <v>89</v>
      </c>
      <c r="F9" s="706"/>
      <c r="G9" s="107" t="s">
        <v>90</v>
      </c>
      <c r="H9" s="107" t="s">
        <v>90</v>
      </c>
      <c r="I9" s="107" t="s">
        <v>86</v>
      </c>
      <c r="J9" s="91"/>
      <c r="K9" s="91"/>
      <c r="L9" s="91"/>
      <c r="M9" s="91"/>
      <c r="N9" s="161"/>
      <c r="O9" s="91"/>
      <c r="P9" s="160"/>
      <c r="Q9" s="160"/>
      <c r="R9" s="160"/>
      <c r="S9" s="160"/>
      <c r="AC9" s="54">
        <v>20</v>
      </c>
    </row>
    <row r="10" spans="1:29" ht="11.5" customHeight="1">
      <c r="D10" s="111"/>
      <c r="E10" s="707" t="s">
        <v>91</v>
      </c>
      <c r="F10" s="707"/>
      <c r="G10" s="158" t="s">
        <v>92</v>
      </c>
      <c r="H10" s="158" t="s">
        <v>93</v>
      </c>
      <c r="I10" s="158" t="s">
        <v>94</v>
      </c>
      <c r="J10" s="121"/>
      <c r="K10" s="121"/>
      <c r="L10" s="121"/>
      <c r="M10" s="121"/>
      <c r="N10" s="106"/>
      <c r="O10" s="121"/>
      <c r="P10" s="159"/>
      <c r="Q10" s="159"/>
      <c r="R10" s="159"/>
      <c r="S10" s="159"/>
      <c r="AC10" s="21">
        <v>11</v>
      </c>
    </row>
    <row r="11" spans="1:29" s="2019" customFormat="1" ht="1" customHeight="1">
      <c r="A11" s="690"/>
      <c r="B11" s="351"/>
      <c r="C11" s="690"/>
      <c r="D11" s="99"/>
      <c r="E11" s="718"/>
      <c r="F11" s="718"/>
      <c r="G11" s="108"/>
      <c r="H11" s="108"/>
      <c r="I11" s="110"/>
      <c r="J11" s="184" t="s">
        <v>95</v>
      </c>
      <c r="K11" s="91"/>
      <c r="L11" s="91"/>
      <c r="M11" s="91" t="s">
        <v>96</v>
      </c>
      <c r="N11" s="161" t="s">
        <v>97</v>
      </c>
      <c r="O11" s="91" t="s">
        <v>98</v>
      </c>
      <c r="P11" s="160"/>
      <c r="Q11" s="160"/>
      <c r="R11" s="160"/>
      <c r="S11" s="160"/>
      <c r="AC11" s="54">
        <v>1</v>
      </c>
    </row>
    <row r="12" spans="1:29" s="2019" customFormat="1" ht="15" customHeight="1">
      <c r="A12" s="3042">
        <v>1</v>
      </c>
      <c r="B12" s="351"/>
      <c r="C12" s="690"/>
      <c r="D12" s="710"/>
      <c r="E12" s="154">
        <f>A12</f>
        <v>1</v>
      </c>
      <c r="F12" s="730" t="s">
        <v>99</v>
      </c>
      <c r="G12" s="474" t="str">
        <f>"Территория "&amp;E12</f>
        <v>Территория 1</v>
      </c>
      <c r="H12" s="720"/>
      <c r="I12" s="720"/>
      <c r="J12" s="717"/>
      <c r="K12" s="434"/>
      <c r="L12" s="434"/>
      <c r="M12" s="434"/>
      <c r="N12" s="161"/>
      <c r="O12" s="434"/>
      <c r="P12" s="160"/>
      <c r="Q12" s="160"/>
      <c r="R12" s="160"/>
      <c r="S12" s="160"/>
      <c r="AC12" s="441">
        <v>14</v>
      </c>
    </row>
    <row r="13" spans="1:29" s="2021" customFormat="1" ht="15.75" customHeight="1">
      <c r="A13" s="3042"/>
      <c r="B13" s="351">
        <v>1</v>
      </c>
      <c r="C13" s="351"/>
      <c r="D13" s="728"/>
      <c r="E13" s="709" t="str">
        <f>A12&amp;"."&amp;B13</f>
        <v>1.1</v>
      </c>
      <c r="F13" s="723" t="s">
        <v>100</v>
      </c>
      <c r="G13" s="721" t="s">
        <v>101</v>
      </c>
      <c r="H13" s="721" t="s">
        <v>101</v>
      </c>
      <c r="I13" s="719" t="s">
        <v>102</v>
      </c>
      <c r="J13" s="434" t="e">
        <f ca="1">MERGEVALUE(G13)</f>
        <v>#NAME?</v>
      </c>
      <c r="K13" s="445"/>
      <c r="L13" s="445"/>
      <c r="M13" s="434" t="str">
        <f t="array" ref="M13">IF(ISERROR(MATCH(MID(N13,1,250),MID(note_ter,1,250),0)),"n","y")</f>
        <v>n</v>
      </c>
      <c r="N13" s="445"/>
      <c r="O13" s="434" t="str">
        <f>H13&amp;"("&amp;I13&amp;")"</f>
        <v>Петропавловск-Камчатский(30701000)</v>
      </c>
      <c r="P13" s="351"/>
      <c r="Q13" s="351"/>
      <c r="R13" s="354"/>
      <c r="S13" s="351"/>
      <c r="T13" s="351"/>
      <c r="U13" s="351"/>
      <c r="V13" s="356"/>
      <c r="W13" s="356"/>
      <c r="X13" s="353"/>
      <c r="Y13" s="353"/>
      <c r="Z13" s="353"/>
      <c r="AA13" s="353"/>
      <c r="AB13" s="353"/>
      <c r="AC13" s="357">
        <v>15</v>
      </c>
    </row>
    <row r="14" spans="1:29" s="2021" customFormat="1" ht="15.75" customHeight="1">
      <c r="A14" s="3042"/>
      <c r="B14" s="351"/>
      <c r="C14" s="346"/>
      <c r="D14" s="729"/>
      <c r="E14" s="355"/>
      <c r="F14" s="112"/>
      <c r="G14" s="349" t="s">
        <v>103</v>
      </c>
      <c r="H14" s="122"/>
      <c r="I14" s="358"/>
      <c r="J14" s="445"/>
      <c r="K14" s="445"/>
      <c r="L14" s="445"/>
      <c r="M14" s="445"/>
      <c r="N14" s="434"/>
      <c r="O14" s="445"/>
      <c r="P14" s="351"/>
      <c r="Q14" s="351"/>
      <c r="R14" s="354"/>
      <c r="S14" s="351"/>
      <c r="T14" s="351"/>
      <c r="U14" s="351"/>
      <c r="V14" s="356"/>
      <c r="W14" s="356"/>
      <c r="X14" s="353"/>
      <c r="Y14" s="353"/>
      <c r="Z14" s="353"/>
      <c r="AA14" s="353"/>
      <c r="AB14" s="353"/>
      <c r="AC14" s="357">
        <v>15</v>
      </c>
    </row>
    <row r="15" spans="1:29" ht="15" customHeight="1">
      <c r="A15" s="3041" t="s">
        <v>104</v>
      </c>
      <c r="B15" s="1077"/>
      <c r="C15" s="729" t="s">
        <v>105</v>
      </c>
      <c r="D15" s="1734"/>
      <c r="E15" s="1721" t="str">
        <f>A15</f>
        <v>2</v>
      </c>
      <c r="F15" s="732" t="s">
        <v>106</v>
      </c>
      <c r="G15" s="474" t="str">
        <f>"Территория "&amp;E15</f>
        <v>Территория 2</v>
      </c>
      <c r="H15" s="720"/>
      <c r="I15" s="720"/>
      <c r="J15" s="717"/>
      <c r="K15" s="1541"/>
      <c r="L15" s="1541"/>
      <c r="M15" s="1541"/>
      <c r="N15" s="161"/>
      <c r="O15" s="1541"/>
      <c r="P15" s="160"/>
      <c r="Q15" s="160"/>
      <c r="R15" s="160"/>
      <c r="S15" s="160"/>
      <c r="T15" s="2023"/>
      <c r="U15" s="2023"/>
      <c r="V15" s="2023"/>
      <c r="W15" s="2023"/>
      <c r="X15" s="2023"/>
      <c r="Y15" s="2023"/>
      <c r="Z15" s="2023"/>
      <c r="AA15" s="2023"/>
      <c r="AB15" s="2023"/>
      <c r="AC15" s="2023"/>
    </row>
    <row r="16" spans="1:29" ht="15" customHeight="1">
      <c r="A16" s="3041"/>
      <c r="B16" s="1077">
        <v>1</v>
      </c>
      <c r="C16" s="1077"/>
      <c r="D16" s="728"/>
      <c r="E16" s="1729" t="str">
        <f>A15&amp;"."&amp;B16</f>
        <v>2.1</v>
      </c>
      <c r="F16" s="731" t="s">
        <v>107</v>
      </c>
      <c r="G16" s="721" t="s">
        <v>108</v>
      </c>
      <c r="H16" s="721" t="s">
        <v>109</v>
      </c>
      <c r="I16" s="719" t="s">
        <v>110</v>
      </c>
      <c r="J16" s="1541"/>
      <c r="K16" s="1553"/>
      <c r="L16" s="1553"/>
      <c r="M16" s="1541" t="str">
        <f t="array" ref="M16">IF(ISERROR(MATCH(MID(N16,1,250),MID(note_ter,1,250),0)),"n","y")</f>
        <v>n</v>
      </c>
      <c r="N16" s="1553"/>
      <c r="O16" s="1541" t="str">
        <f>H16&amp;"("&amp;I16&amp;")"</f>
        <v>Елизовское городское поселение(30607101)</v>
      </c>
      <c r="P16" s="1077"/>
      <c r="Q16" s="1077"/>
      <c r="R16" s="354"/>
      <c r="S16" s="1077"/>
      <c r="T16" s="1077"/>
      <c r="U16" s="1077"/>
      <c r="V16" s="356"/>
      <c r="W16" s="356"/>
      <c r="X16" s="353"/>
      <c r="Y16" s="353"/>
      <c r="Z16" s="353"/>
      <c r="AA16" s="353"/>
      <c r="AB16" s="353"/>
      <c r="AC16" s="353"/>
    </row>
    <row r="17" spans="1:29" ht="15" customHeight="1">
      <c r="A17" s="3041"/>
      <c r="B17" s="1077"/>
      <c r="C17" s="346"/>
      <c r="D17" s="729"/>
      <c r="E17" s="355"/>
      <c r="F17" s="112"/>
      <c r="G17" s="349" t="s">
        <v>103</v>
      </c>
      <c r="H17" s="122"/>
      <c r="I17" s="358"/>
      <c r="J17" s="1553"/>
      <c r="K17" s="1553"/>
      <c r="L17" s="1553"/>
      <c r="M17" s="1553"/>
      <c r="N17" s="1541"/>
      <c r="O17" s="1553"/>
      <c r="P17" s="1077"/>
      <c r="Q17" s="1077"/>
      <c r="R17" s="354"/>
      <c r="S17" s="1077"/>
      <c r="T17" s="1077"/>
      <c r="U17" s="1077"/>
      <c r="V17" s="356"/>
      <c r="W17" s="356"/>
      <c r="X17" s="353"/>
      <c r="Y17" s="353"/>
      <c r="Z17" s="353"/>
      <c r="AA17" s="353"/>
      <c r="AB17" s="353"/>
      <c r="AC17" s="353"/>
    </row>
    <row r="18" spans="1:29" ht="15" customHeight="1">
      <c r="A18" s="3041" t="s">
        <v>91</v>
      </c>
      <c r="B18" s="1077"/>
      <c r="C18" s="729" t="s">
        <v>105</v>
      </c>
      <c r="D18" s="1734"/>
      <c r="E18" s="1721" t="str">
        <f>A18</f>
        <v>3</v>
      </c>
      <c r="F18" s="732" t="s">
        <v>111</v>
      </c>
      <c r="G18" s="474" t="str">
        <f>"Территория "&amp;E18</f>
        <v>Территория 3</v>
      </c>
      <c r="H18" s="720"/>
      <c r="I18" s="720"/>
      <c r="J18" s="717"/>
      <c r="K18" s="1541"/>
      <c r="L18" s="1541"/>
      <c r="M18" s="1541"/>
      <c r="N18" s="161"/>
      <c r="O18" s="1541"/>
      <c r="P18" s="160"/>
      <c r="Q18" s="160"/>
      <c r="R18" s="160"/>
      <c r="S18" s="160"/>
      <c r="T18" s="2023"/>
      <c r="U18" s="2023"/>
      <c r="V18" s="2023"/>
      <c r="W18" s="2023"/>
      <c r="X18" s="2023"/>
      <c r="Y18" s="2023"/>
      <c r="Z18" s="2023"/>
      <c r="AA18" s="2023"/>
      <c r="AB18" s="2023"/>
      <c r="AC18" s="2023"/>
    </row>
    <row r="19" spans="1:29" ht="15" customHeight="1">
      <c r="A19" s="3041"/>
      <c r="B19" s="1077">
        <v>1</v>
      </c>
      <c r="C19" s="1077"/>
      <c r="D19" s="728"/>
      <c r="E19" s="1729" t="str">
        <f>A18&amp;"."&amp;B19</f>
        <v>3.1</v>
      </c>
      <c r="F19" s="731" t="s">
        <v>112</v>
      </c>
      <c r="G19" s="721" t="s">
        <v>108</v>
      </c>
      <c r="H19" s="721" t="s">
        <v>113</v>
      </c>
      <c r="I19" s="719" t="s">
        <v>114</v>
      </c>
      <c r="J19" s="1541"/>
      <c r="K19" s="1553"/>
      <c r="L19" s="1553"/>
      <c r="M19" s="1541" t="str">
        <f t="array" ref="M19">IF(ISERROR(MATCH(MID(N19,1,250),MID(note_ter,1,250),0)),"n","y")</f>
        <v>n</v>
      </c>
      <c r="N19" s="1553"/>
      <c r="O19" s="1541" t="str">
        <f>H19&amp;"("&amp;I19&amp;")"</f>
        <v>Новолесновское сельское поселение(30607418)</v>
      </c>
      <c r="P19" s="1077"/>
      <c r="Q19" s="1077"/>
      <c r="R19" s="354"/>
      <c r="S19" s="1077"/>
      <c r="T19" s="1077"/>
      <c r="U19" s="1077"/>
      <c r="V19" s="356"/>
      <c r="W19" s="356"/>
      <c r="X19" s="353"/>
      <c r="Y19" s="353"/>
      <c r="Z19" s="353"/>
      <c r="AA19" s="353"/>
      <c r="AB19" s="353"/>
      <c r="AC19" s="353"/>
    </row>
    <row r="20" spans="1:29" ht="15" customHeight="1">
      <c r="A20" s="3041"/>
      <c r="B20" s="1077"/>
      <c r="C20" s="346"/>
      <c r="D20" s="729"/>
      <c r="E20" s="355"/>
      <c r="F20" s="112"/>
      <c r="G20" s="349" t="s">
        <v>103</v>
      </c>
      <c r="H20" s="122"/>
      <c r="I20" s="358"/>
      <c r="J20" s="1553"/>
      <c r="K20" s="1553"/>
      <c r="L20" s="1553"/>
      <c r="M20" s="1553"/>
      <c r="N20" s="1541"/>
      <c r="O20" s="1553"/>
      <c r="P20" s="1077"/>
      <c r="Q20" s="1077"/>
      <c r="R20" s="354"/>
      <c r="S20" s="1077"/>
      <c r="T20" s="1077"/>
      <c r="U20" s="1077"/>
      <c r="V20" s="356"/>
      <c r="W20" s="356"/>
      <c r="X20" s="353"/>
      <c r="Y20" s="353"/>
      <c r="Z20" s="353"/>
      <c r="AA20" s="353"/>
      <c r="AB20" s="353"/>
      <c r="AC20" s="353"/>
    </row>
    <row r="21" spans="1:29" ht="15" customHeight="1">
      <c r="A21" s="3041" t="s">
        <v>92</v>
      </c>
      <c r="B21" s="1077"/>
      <c r="C21" s="729" t="s">
        <v>105</v>
      </c>
      <c r="D21" s="1734"/>
      <c r="E21" s="1721" t="str">
        <f>A21</f>
        <v>4</v>
      </c>
      <c r="F21" s="732" t="s">
        <v>115</v>
      </c>
      <c r="G21" s="474" t="str">
        <f>"Территория "&amp;E21</f>
        <v>Территория 4</v>
      </c>
      <c r="H21" s="720"/>
      <c r="I21" s="720"/>
      <c r="J21" s="717"/>
      <c r="K21" s="1541"/>
      <c r="L21" s="1541"/>
      <c r="M21" s="1541"/>
      <c r="N21" s="161"/>
      <c r="O21" s="1541"/>
      <c r="P21" s="160"/>
      <c r="Q21" s="160"/>
      <c r="R21" s="160"/>
      <c r="S21" s="160"/>
      <c r="T21" s="2023"/>
      <c r="U21" s="2023"/>
      <c r="V21" s="2023"/>
      <c r="W21" s="2023"/>
      <c r="X21" s="2023"/>
      <c r="Y21" s="2023"/>
      <c r="Z21" s="2023"/>
      <c r="AA21" s="2023"/>
      <c r="AB21" s="2023"/>
      <c r="AC21" s="2023"/>
    </row>
    <row r="22" spans="1:29" ht="15" customHeight="1">
      <c r="A22" s="3041"/>
      <c r="B22" s="1077">
        <v>1</v>
      </c>
      <c r="C22" s="1077"/>
      <c r="D22" s="728"/>
      <c r="E22" s="1729" t="str">
        <f>A21&amp;"."&amp;B22</f>
        <v>4.1</v>
      </c>
      <c r="F22" s="731" t="s">
        <v>93</v>
      </c>
      <c r="G22" s="721" t="s">
        <v>116</v>
      </c>
      <c r="H22" s="721" t="s">
        <v>116</v>
      </c>
      <c r="I22" s="719" t="s">
        <v>117</v>
      </c>
      <c r="J22" s="1541"/>
      <c r="K22" s="1553"/>
      <c r="L22" s="1553"/>
      <c r="M22" s="1541" t="str">
        <f t="array" ref="M22">IF(ISERROR(MATCH(MID(N22,1,250),MID(note_ter,1,250),0)),"n","y")</f>
        <v>n</v>
      </c>
      <c r="N22" s="1553"/>
      <c r="O22" s="1541" t="str">
        <f>H22&amp;"("&amp;I22&amp;")"</f>
        <v>Вилючинский ЗАТО(30735000)</v>
      </c>
      <c r="P22" s="1077"/>
      <c r="Q22" s="1077"/>
      <c r="R22" s="354"/>
      <c r="S22" s="1077"/>
      <c r="T22" s="1077"/>
      <c r="U22" s="1077"/>
      <c r="V22" s="356"/>
      <c r="W22" s="356"/>
      <c r="X22" s="353"/>
      <c r="Y22" s="353"/>
      <c r="Z22" s="353"/>
      <c r="AA22" s="353"/>
      <c r="AB22" s="353"/>
      <c r="AC22" s="353"/>
    </row>
    <row r="23" spans="1:29" ht="15" customHeight="1">
      <c r="A23" s="3041"/>
      <c r="B23" s="1077"/>
      <c r="C23" s="346"/>
      <c r="D23" s="729"/>
      <c r="E23" s="355"/>
      <c r="F23" s="112"/>
      <c r="G23" s="349" t="s">
        <v>103</v>
      </c>
      <c r="H23" s="122"/>
      <c r="I23" s="358"/>
      <c r="J23" s="1553"/>
      <c r="K23" s="1553"/>
      <c r="L23" s="1553"/>
      <c r="M23" s="1553"/>
      <c r="N23" s="1541"/>
      <c r="O23" s="1553"/>
      <c r="P23" s="1077"/>
      <c r="Q23" s="1077"/>
      <c r="R23" s="354"/>
      <c r="S23" s="1077"/>
      <c r="T23" s="1077"/>
      <c r="U23" s="1077"/>
      <c r="V23" s="356"/>
      <c r="W23" s="356"/>
      <c r="X23" s="353"/>
      <c r="Y23" s="353"/>
      <c r="Z23" s="353"/>
      <c r="AA23" s="353"/>
      <c r="AB23" s="353"/>
      <c r="AC23" s="353"/>
    </row>
    <row r="24" spans="1:29" s="2019" customFormat="1" ht="14.65" customHeight="1">
      <c r="A24" s="690"/>
      <c r="B24" s="351"/>
      <c r="C24" s="690"/>
      <c r="D24" s="710"/>
      <c r="E24" s="722"/>
      <c r="F24" s="113"/>
      <c r="G24" s="350" t="s">
        <v>118</v>
      </c>
      <c r="H24" s="113"/>
      <c r="I24" s="114"/>
      <c r="J24" s="184"/>
      <c r="K24" s="91"/>
      <c r="L24" s="91"/>
      <c r="M24" s="91"/>
      <c r="N24" s="161" t="s">
        <v>119</v>
      </c>
      <c r="O24" s="91"/>
      <c r="P24" s="160"/>
      <c r="Q24" s="160"/>
      <c r="R24" s="160"/>
      <c r="S24" s="160"/>
      <c r="AC24" s="54">
        <v>14</v>
      </c>
    </row>
    <row r="25" spans="1:29" s="2019" customFormat="1" ht="22" customHeight="1">
      <c r="A25" s="690"/>
      <c r="B25" s="351"/>
      <c r="C25" s="690"/>
      <c r="D25" s="100"/>
      <c r="E25" s="115"/>
      <c r="F25" s="115"/>
      <c r="G25" s="115"/>
      <c r="H25" s="115"/>
      <c r="I25" s="115"/>
      <c r="J25" s="91"/>
      <c r="K25" s="91"/>
      <c r="L25" s="91"/>
      <c r="M25" s="91"/>
      <c r="N25" s="161"/>
      <c r="O25" s="91"/>
      <c r="P25" s="160"/>
      <c r="Q25" s="160"/>
      <c r="R25" s="160"/>
      <c r="S25" s="160"/>
      <c r="AC25" s="54">
        <v>21</v>
      </c>
    </row>
    <row r="26" spans="1:29" s="2019" customFormat="1" ht="14.65" customHeight="1">
      <c r="A26" s="690"/>
      <c r="B26" s="351"/>
      <c r="C26" s="690"/>
      <c r="D26" s="100"/>
      <c r="E26" s="21"/>
      <c r="F26" s="690"/>
      <c r="G26" s="21"/>
      <c r="H26" s="21"/>
      <c r="I26" s="21"/>
      <c r="J26" s="91"/>
      <c r="K26" s="91"/>
      <c r="L26" s="91"/>
      <c r="M26" s="91"/>
      <c r="N26" s="161"/>
      <c r="O26" s="91"/>
      <c r="P26" s="160"/>
      <c r="Q26" s="160"/>
      <c r="R26" s="160"/>
      <c r="S26" s="160"/>
      <c r="AC26" s="54">
        <v>14</v>
      </c>
    </row>
    <row r="27" spans="1:29" s="2019" customFormat="1" ht="1" customHeight="1">
      <c r="A27" s="690"/>
      <c r="B27" s="351"/>
      <c r="C27" s="690"/>
      <c r="D27" s="100"/>
      <c r="E27" s="21"/>
      <c r="F27" s="690"/>
      <c r="G27" s="21"/>
      <c r="H27" s="21"/>
      <c r="I27" s="21"/>
      <c r="J27" s="91"/>
      <c r="K27" s="91"/>
      <c r="L27" s="91"/>
      <c r="M27" s="91"/>
      <c r="N27" s="161"/>
      <c r="O27" s="91"/>
      <c r="P27" s="160"/>
      <c r="Q27" s="160"/>
      <c r="R27" s="160"/>
      <c r="S27" s="160"/>
      <c r="AC27" s="54">
        <v>1</v>
      </c>
    </row>
    <row r="28" spans="1:29" s="2024" customFormat="1" ht="10.5" customHeight="1">
      <c r="B28" s="762"/>
      <c r="D28" s="117"/>
      <c r="J28" s="91"/>
      <c r="K28" s="91"/>
      <c r="L28" s="91"/>
      <c r="M28" s="91"/>
      <c r="N28" s="161"/>
      <c r="O28" s="91"/>
      <c r="P28" s="160"/>
      <c r="Q28" s="160"/>
      <c r="R28" s="160"/>
      <c r="S28" s="160"/>
      <c r="AC28" s="116">
        <v>10</v>
      </c>
    </row>
    <row r="29" spans="1:29" s="2024" customFormat="1" ht="10.5" customHeight="1">
      <c r="B29" s="762"/>
      <c r="D29" s="117"/>
      <c r="J29" s="91"/>
      <c r="K29" s="91"/>
      <c r="L29" s="91"/>
      <c r="M29" s="91"/>
      <c r="N29" s="161"/>
      <c r="O29" s="91"/>
      <c r="P29" s="160"/>
      <c r="Q29" s="160"/>
      <c r="R29" s="160"/>
      <c r="S29" s="160"/>
      <c r="AC29" s="116">
        <v>10</v>
      </c>
    </row>
    <row r="30" spans="1:29" ht="14.65" customHeight="1">
      <c r="AC30" s="21">
        <v>14</v>
      </c>
    </row>
    <row r="31" spans="1:29" ht="14.65" customHeight="1">
      <c r="AC31" s="21">
        <v>14</v>
      </c>
    </row>
    <row r="32" spans="1:29" ht="14.65" customHeight="1">
      <c r="AC32" s="21">
        <v>14</v>
      </c>
    </row>
    <row r="33" spans="1:29" ht="14.65" customHeight="1">
      <c r="H33" s="1"/>
      <c r="AC33" s="21">
        <v>14</v>
      </c>
    </row>
    <row r="34" spans="1:29" ht="14.65" customHeight="1">
      <c r="AC34" s="21">
        <v>14</v>
      </c>
    </row>
    <row r="35" spans="1:29" ht="14.65" customHeight="1">
      <c r="AC35" s="21">
        <v>14</v>
      </c>
    </row>
    <row r="36" spans="1:29" ht="14.65" customHeight="1">
      <c r="AC36" s="21">
        <v>14</v>
      </c>
    </row>
    <row r="37" spans="1:29" ht="14.65" customHeight="1">
      <c r="J37" s="21"/>
      <c r="K37" s="21"/>
      <c r="L37" s="21"/>
      <c r="AC37" s="21">
        <v>14</v>
      </c>
    </row>
    <row r="38" spans="1:29" ht="22.5" hidden="1" customHeight="1">
      <c r="A38" s="690" t="s">
        <v>83</v>
      </c>
      <c r="B38" s="351">
        <v>0</v>
      </c>
      <c r="C38" s="690">
        <v>3</v>
      </c>
      <c r="D38" s="100">
        <v>3</v>
      </c>
      <c r="E38" s="21">
        <v>6</v>
      </c>
      <c r="F38" s="690">
        <v>0</v>
      </c>
      <c r="G38" s="21">
        <v>46</v>
      </c>
      <c r="H38" s="21">
        <v>42</v>
      </c>
      <c r="I38" s="21">
        <v>14</v>
      </c>
      <c r="J38" s="91">
        <v>3</v>
      </c>
      <c r="K38" s="91">
        <v>0</v>
      </c>
      <c r="L38" s="91">
        <v>0</v>
      </c>
      <c r="M38" s="91">
        <v>0</v>
      </c>
      <c r="N38" s="161">
        <v>0</v>
      </c>
      <c r="O38" s="91">
        <v>0</v>
      </c>
      <c r="P38" s="160">
        <v>0</v>
      </c>
      <c r="Q38" s="160">
        <v>0</v>
      </c>
      <c r="R38" s="160">
        <v>0</v>
      </c>
      <c r="S38" s="160">
        <v>0</v>
      </c>
      <c r="T38" s="21">
        <v>0</v>
      </c>
      <c r="U38" s="21">
        <v>0</v>
      </c>
      <c r="V38" s="21">
        <v>0</v>
      </c>
      <c r="W38" s="21">
        <v>0</v>
      </c>
      <c r="X38" s="21">
        <v>0</v>
      </c>
      <c r="Y38" s="21">
        <v>0</v>
      </c>
      <c r="Z38" s="21">
        <v>0</v>
      </c>
      <c r="AA38" s="21">
        <v>0</v>
      </c>
      <c r="AB38" s="21">
        <v>8</v>
      </c>
      <c r="AC38" s="21">
        <v>23</v>
      </c>
    </row>
  </sheetData>
  <sheetProtection formatColumns="0" formatRows="0" insertRows="0" deleteColumns="0" deleteRows="0" sort="0" autoFilter="0"/>
  <mergeCells count="7">
    <mergeCell ref="A18:A20"/>
    <mergeCell ref="A21:A23"/>
    <mergeCell ref="A12:A14"/>
    <mergeCell ref="E4:I4"/>
    <mergeCell ref="E8:G8"/>
    <mergeCell ref="H8:I8"/>
    <mergeCell ref="A15:A17"/>
  </mergeCells>
  <dataValidations count="1">
    <dataValidation type="textLength" operator="lessThanOrEqual" allowBlank="1" showInputMessage="1" showErrorMessage="1" errorTitle="Ошибка" error="Допускается ввод не более 900 символов!" sqref="G12 G21 G18 G15" xr:uid="{00000000-0002-0000-0200-000000000000}">
      <formula1>900</formula1>
    </dataValidation>
  </dataValidations>
  <printOptions horizontalCentered="1" verticalCentered="1"/>
  <pageMargins left="0" right="0" top="0" bottom="0" header="0" footer="0.79"/>
  <pageSetup paperSize="9" scale="93" fitToHeight="0"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A53FB9-E43F-6449-92DB-5FA20CF2213B}">
  <sheetPr>
    <tabColor rgb="FFCCCCFF"/>
  </sheetPr>
  <dimension ref="A1:AM17"/>
  <sheetViews>
    <sheetView showGridLines="0" topLeftCell="C3" zoomScale="90" workbookViewId="0"/>
  </sheetViews>
  <sheetFormatPr defaultColWidth="9.09765625" defaultRowHeight="11.25" customHeight="1"/>
  <cols>
    <col min="1" max="1" width="6.3984375" style="2028" hidden="1" customWidth="1"/>
    <col min="2" max="2" width="2" style="2028" hidden="1" customWidth="1"/>
    <col min="3" max="3" width="3" style="2028" customWidth="1"/>
    <col min="4" max="4" width="4" style="2028" customWidth="1"/>
    <col min="5" max="5" width="44" style="2028" customWidth="1"/>
    <col min="6" max="6" width="6.3984375" style="2028" customWidth="1"/>
    <col min="7" max="7" width="4" style="2028" customWidth="1"/>
    <col min="8" max="8" width="5" style="2028" customWidth="1"/>
    <col min="9" max="9" width="52" style="2028" customWidth="1"/>
    <col min="10" max="10" width="7" style="2028" customWidth="1"/>
    <col min="11" max="11" width="3" style="2028" customWidth="1"/>
    <col min="12" max="12" width="6" style="2028" customWidth="1"/>
    <col min="13" max="13" width="56" style="2028" customWidth="1"/>
    <col min="14" max="14" width="8" style="2030" customWidth="1"/>
    <col min="15" max="20" width="9.09765625" style="2022" hidden="1"/>
    <col min="21" max="24" width="9.09765625" style="2029" hidden="1"/>
    <col min="25" max="37" width="9.09765625" style="2030" hidden="1"/>
    <col min="38" max="38" width="8" style="2030" customWidth="1"/>
    <col min="39" max="39" width="9.09765625" style="2028" hidden="1"/>
  </cols>
  <sheetData>
    <row r="1" spans="1:39" ht="11.25" hidden="1" customHeight="1">
      <c r="AM1" s="517" t="s">
        <v>14</v>
      </c>
    </row>
    <row r="2" spans="1:39" ht="11.25" hidden="1" customHeight="1">
      <c r="AM2" s="517">
        <v>0</v>
      </c>
    </row>
    <row r="3" spans="1:39" ht="11.5" customHeight="1">
      <c r="AM3" s="517">
        <v>11</v>
      </c>
    </row>
    <row r="4" spans="1:39" ht="35.65" customHeight="1">
      <c r="A4" s="519"/>
      <c r="B4" s="519"/>
      <c r="D4" s="3060" t="str">
        <f>Титульный!E5</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E4" s="3061"/>
      <c r="F4" s="3061"/>
      <c r="G4" s="3061"/>
      <c r="H4" s="3061"/>
      <c r="I4" s="3062"/>
      <c r="J4" s="518"/>
      <c r="K4" s="518"/>
      <c r="L4" s="518"/>
      <c r="M4" s="518"/>
      <c r="AM4" s="517">
        <v>34</v>
      </c>
    </row>
    <row r="5" spans="1:39" s="2027" customFormat="1" ht="14.65" customHeight="1">
      <c r="A5" s="519"/>
      <c r="B5" s="519"/>
      <c r="C5" s="519"/>
      <c r="D5" s="3063" t="str">
        <f>IF(org=0,"Не определено",org)</f>
        <v>ООО "РСО"</v>
      </c>
      <c r="E5" s="3064"/>
      <c r="F5" s="3064"/>
      <c r="G5" s="3064"/>
      <c r="H5" s="3064"/>
      <c r="I5" s="3065"/>
      <c r="J5" s="520"/>
      <c r="K5" s="520"/>
      <c r="L5" s="520"/>
      <c r="M5" s="520"/>
      <c r="N5" s="520"/>
      <c r="O5" s="794"/>
      <c r="P5" s="794"/>
      <c r="Q5" s="794"/>
      <c r="R5" s="794"/>
      <c r="S5" s="794"/>
      <c r="T5" s="794"/>
      <c r="U5" s="1178"/>
      <c r="V5" s="1178"/>
      <c r="W5" s="1178"/>
      <c r="X5" s="1178"/>
      <c r="Y5" s="520"/>
      <c r="Z5" s="520"/>
      <c r="AA5" s="520"/>
      <c r="AB5" s="520"/>
      <c r="AC5" s="520"/>
      <c r="AD5" s="520"/>
      <c r="AE5" s="520"/>
      <c r="AF5" s="520"/>
      <c r="AG5" s="520"/>
      <c r="AH5" s="520"/>
      <c r="AI5" s="520"/>
      <c r="AJ5" s="520"/>
      <c r="AK5" s="520"/>
      <c r="AL5" s="520"/>
      <c r="AM5" s="521">
        <v>14</v>
      </c>
    </row>
    <row r="6" spans="1:39" s="2027" customFormat="1" ht="6.25" customHeight="1">
      <c r="A6" s="3042"/>
      <c r="B6" s="3042"/>
      <c r="C6" s="3042"/>
      <c r="D6" s="3042"/>
      <c r="E6" s="3042"/>
      <c r="F6" s="3042"/>
      <c r="G6" s="522"/>
      <c r="H6" s="522"/>
      <c r="I6" s="522"/>
      <c r="J6" s="522"/>
      <c r="K6" s="522"/>
      <c r="N6" s="524"/>
      <c r="O6" s="1331"/>
      <c r="P6" s="1331"/>
      <c r="Q6" s="1331"/>
      <c r="R6" s="1331"/>
      <c r="S6" s="1331"/>
      <c r="T6" s="1331"/>
      <c r="U6" s="1181"/>
      <c r="V6" s="1181"/>
      <c r="W6" s="1181"/>
      <c r="X6" s="1181"/>
      <c r="Y6" s="524"/>
      <c r="Z6" s="524"/>
      <c r="AA6" s="524"/>
      <c r="AB6" s="524"/>
      <c r="AC6" s="524"/>
      <c r="AD6" s="524"/>
      <c r="AE6" s="524"/>
      <c r="AF6" s="524"/>
      <c r="AG6" s="524"/>
      <c r="AH6" s="524"/>
      <c r="AI6" s="524"/>
      <c r="AJ6" s="524"/>
      <c r="AK6" s="524"/>
      <c r="AL6" s="524"/>
      <c r="AM6" s="523">
        <v>6</v>
      </c>
    </row>
    <row r="7" spans="1:39" ht="45.75" hidden="1" customHeight="1">
      <c r="E7" s="3070"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3071"/>
      <c r="G7" s="3071"/>
      <c r="H7" s="3071"/>
      <c r="I7" s="3071"/>
      <c r="J7" s="3071"/>
      <c r="K7" s="3071"/>
      <c r="L7" s="3071"/>
      <c r="M7" s="3071"/>
      <c r="AM7" s="517">
        <v>0</v>
      </c>
    </row>
    <row r="8" spans="1:39" s="2027" customFormat="1" ht="6.25" customHeight="1">
      <c r="A8" s="525"/>
      <c r="B8" s="525"/>
      <c r="C8" s="525"/>
      <c r="D8" s="525"/>
      <c r="E8" s="525"/>
      <c r="F8" s="525"/>
      <c r="G8" s="525"/>
      <c r="H8" s="525"/>
      <c r="I8" s="525"/>
      <c r="J8" s="525"/>
      <c r="K8" s="525"/>
      <c r="L8" s="525"/>
      <c r="M8" s="523"/>
      <c r="N8" s="520"/>
      <c r="O8" s="794"/>
      <c r="P8" s="794"/>
      <c r="Q8" s="794"/>
      <c r="R8" s="794"/>
      <c r="S8" s="794"/>
      <c r="T8" s="794"/>
      <c r="U8" s="1178"/>
      <c r="V8" s="1178"/>
      <c r="W8" s="1178"/>
      <c r="X8" s="1178"/>
      <c r="Y8" s="520"/>
      <c r="Z8" s="520"/>
      <c r="AA8" s="520"/>
      <c r="AB8" s="520"/>
      <c r="AC8" s="520"/>
      <c r="AD8" s="520"/>
      <c r="AE8" s="520"/>
      <c r="AF8" s="520"/>
      <c r="AG8" s="520"/>
      <c r="AH8" s="520"/>
      <c r="AI8" s="520"/>
      <c r="AJ8" s="520"/>
      <c r="AK8" s="520"/>
      <c r="AL8" s="520"/>
      <c r="AM8" s="521">
        <v>6</v>
      </c>
    </row>
    <row r="9" spans="1:39" ht="18.75" customHeight="1">
      <c r="A9" s="3066"/>
      <c r="B9" s="258"/>
      <c r="C9" s="258"/>
      <c r="D9" s="3067" t="s">
        <v>120</v>
      </c>
      <c r="E9" s="3067"/>
      <c r="F9" s="3068" t="s">
        <v>121</v>
      </c>
      <c r="G9" s="3069"/>
      <c r="H9" s="3069"/>
      <c r="I9" s="3069"/>
      <c r="J9" s="3072" t="s">
        <v>122</v>
      </c>
      <c r="K9" s="3072"/>
      <c r="L9" s="3072"/>
      <c r="M9" s="3072"/>
      <c r="AM9" s="517">
        <v>18</v>
      </c>
    </row>
    <row r="10" spans="1:39" ht="24" customHeight="1">
      <c r="A10" s="3066"/>
      <c r="B10" s="526"/>
      <c r="C10" s="459"/>
      <c r="D10" s="457" t="s">
        <v>89</v>
      </c>
      <c r="E10" s="457" t="s">
        <v>90</v>
      </c>
      <c r="F10" s="457" t="s">
        <v>123</v>
      </c>
      <c r="G10" s="3073" t="s">
        <v>89</v>
      </c>
      <c r="H10" s="3074"/>
      <c r="I10" s="457" t="s">
        <v>90</v>
      </c>
      <c r="J10" s="457" t="s">
        <v>123</v>
      </c>
      <c r="K10" s="3073" t="s">
        <v>89</v>
      </c>
      <c r="L10" s="3074"/>
      <c r="M10" s="457" t="s">
        <v>90</v>
      </c>
      <c r="N10" s="1544"/>
      <c r="AM10" s="517">
        <v>23</v>
      </c>
    </row>
    <row r="11" spans="1:39" s="2028" customFormat="1" ht="11.25" hidden="1" customHeight="1">
      <c r="A11" s="527"/>
      <c r="B11" s="527"/>
      <c r="C11" s="527"/>
      <c r="D11" s="528" t="s">
        <v>124</v>
      </c>
      <c r="E11" s="528" t="s">
        <v>104</v>
      </c>
      <c r="F11" s="528" t="s">
        <v>91</v>
      </c>
      <c r="G11" s="3056" t="s">
        <v>92</v>
      </c>
      <c r="H11" s="3057"/>
      <c r="I11" s="528" t="s">
        <v>125</v>
      </c>
      <c r="J11" s="528" t="s">
        <v>93</v>
      </c>
      <c r="K11" s="3058" t="s">
        <v>94</v>
      </c>
      <c r="L11" s="3059"/>
      <c r="M11" s="528" t="s">
        <v>126</v>
      </c>
      <c r="N11" s="1543"/>
      <c r="O11" s="1330"/>
      <c r="P11" s="1332"/>
      <c r="Q11" s="1332"/>
      <c r="R11" s="1332"/>
      <c r="S11" s="1332"/>
      <c r="T11" s="1332"/>
      <c r="U11" s="1182"/>
      <c r="V11" s="1182"/>
      <c r="W11" s="1182"/>
      <c r="X11" s="1182"/>
      <c r="Y11" s="529"/>
      <c r="Z11" s="529"/>
      <c r="AA11" s="529"/>
      <c r="AB11" s="529"/>
      <c r="AC11" s="529"/>
      <c r="AD11" s="529"/>
      <c r="AE11" s="529"/>
      <c r="AF11" s="529"/>
      <c r="AG11" s="529"/>
      <c r="AH11" s="529"/>
      <c r="AI11" s="529"/>
      <c r="AJ11" s="529"/>
      <c r="AK11" s="529"/>
      <c r="AL11" s="529"/>
      <c r="AM11" s="530">
        <v>0</v>
      </c>
    </row>
    <row r="12" spans="1:39" ht="1" customHeight="1">
      <c r="A12" s="531"/>
      <c r="B12" s="532"/>
      <c r="C12" s="532"/>
      <c r="D12" s="533"/>
      <c r="E12" s="301"/>
      <c r="F12" s="534"/>
      <c r="G12" s="980"/>
      <c r="H12" s="980"/>
      <c r="I12" s="534"/>
      <c r="J12" s="534"/>
      <c r="K12" s="109"/>
      <c r="L12" s="301"/>
      <c r="M12" s="535"/>
      <c r="N12" s="1544"/>
      <c r="O12" s="1330" t="s">
        <v>127</v>
      </c>
      <c r="P12" s="1330" t="s">
        <v>128</v>
      </c>
      <c r="Q12" s="1330" t="s">
        <v>129</v>
      </c>
      <c r="R12" s="1330" t="s">
        <v>130</v>
      </c>
      <c r="AM12" s="517">
        <v>1</v>
      </c>
    </row>
    <row r="13" spans="1:39" s="2028" customFormat="1" ht="15.75" customHeight="1">
      <c r="A13" s="228"/>
      <c r="B13" s="228"/>
      <c r="C13" s="460"/>
      <c r="D13" s="3049" t="s">
        <v>124</v>
      </c>
      <c r="E13" s="3050"/>
      <c r="F13" s="3053" t="s">
        <v>67</v>
      </c>
      <c r="G13" s="3054"/>
      <c r="H13" s="3055">
        <v>1</v>
      </c>
      <c r="I13" s="3046" t="str">
        <f>IF(U13="","",INDEX(TERRITORY_MR_LIST,MATCH(U13,TERRITORY_LIST_ID,0)))</f>
        <v/>
      </c>
      <c r="J13" s="3048" t="s">
        <v>19</v>
      </c>
      <c r="K13" s="536"/>
      <c r="L13" s="461" t="s">
        <v>124</v>
      </c>
      <c r="M13" s="537" t="s">
        <v>28</v>
      </c>
      <c r="N13" s="740"/>
      <c r="O13" s="1333" t="s">
        <v>131</v>
      </c>
      <c r="P13" s="1330">
        <f>$E$13</f>
        <v>0</v>
      </c>
      <c r="Q13" s="1330" t="str">
        <f>IF($F$13="нет","без дифференциации",$I$13)</f>
        <v/>
      </c>
      <c r="R13" s="1330" t="str">
        <f>IF($J$13="нет","без дифференциации",M13)</f>
        <v>без дифференциации</v>
      </c>
      <c r="S13" s="1333"/>
      <c r="T13" s="1333"/>
      <c r="U13" s="1183"/>
      <c r="V13" s="1183"/>
      <c r="W13" s="1183"/>
      <c r="X13" s="1183"/>
      <c r="Y13" s="538" t="s">
        <v>132</v>
      </c>
      <c r="Z13" s="538">
        <v>1705000</v>
      </c>
      <c r="AA13" s="538"/>
      <c r="AB13" s="538"/>
      <c r="AC13" s="538"/>
      <c r="AD13" s="538"/>
      <c r="AE13" s="538"/>
      <c r="AF13" s="538"/>
      <c r="AG13" s="538"/>
      <c r="AH13" s="538"/>
      <c r="AI13" s="538"/>
      <c r="AJ13" s="538"/>
      <c r="AK13" s="538"/>
      <c r="AL13" s="538"/>
      <c r="AM13" s="540">
        <v>15</v>
      </c>
    </row>
    <row r="14" spans="1:39" s="2028" customFormat="1" ht="15.75" customHeight="1">
      <c r="A14" s="228"/>
      <c r="B14" s="228"/>
      <c r="C14" s="111"/>
      <c r="D14" s="3049"/>
      <c r="E14" s="3051"/>
      <c r="F14" s="3048"/>
      <c r="G14" s="3054"/>
      <c r="H14" s="3055"/>
      <c r="I14" s="3047"/>
      <c r="J14" s="3048"/>
      <c r="K14" s="355"/>
      <c r="L14" s="112"/>
      <c r="M14" s="541" t="s">
        <v>133</v>
      </c>
      <c r="N14" s="740"/>
      <c r="O14" s="1333"/>
      <c r="P14" s="1330"/>
      <c r="Q14" s="1330"/>
      <c r="R14" s="1330"/>
      <c r="S14" s="1333"/>
      <c r="T14" s="1333"/>
      <c r="U14" s="1183"/>
      <c r="V14" s="1183"/>
      <c r="W14" s="1183"/>
      <c r="X14" s="1183"/>
      <c r="Y14" s="538"/>
      <c r="Z14" s="538"/>
      <c r="AA14" s="538"/>
      <c r="AB14" s="538"/>
      <c r="AC14" s="538"/>
      <c r="AD14" s="538"/>
      <c r="AE14" s="538"/>
      <c r="AF14" s="538"/>
      <c r="AG14" s="538"/>
      <c r="AH14" s="538"/>
      <c r="AI14" s="538"/>
      <c r="AJ14" s="538"/>
      <c r="AK14" s="538"/>
      <c r="AL14" s="538"/>
      <c r="AM14" s="540">
        <v>15</v>
      </c>
    </row>
    <row r="15" spans="1:39" s="2028" customFormat="1" ht="15.75" customHeight="1">
      <c r="A15" s="228"/>
      <c r="B15" s="228"/>
      <c r="C15" s="111"/>
      <c r="D15" s="3049"/>
      <c r="E15" s="3052"/>
      <c r="F15" s="3048"/>
      <c r="G15" s="981"/>
      <c r="H15" s="982"/>
      <c r="I15" s="514" t="s">
        <v>134</v>
      </c>
      <c r="J15" s="112"/>
      <c r="K15" s="112"/>
      <c r="L15" s="112"/>
      <c r="M15" s="542"/>
      <c r="N15" s="740"/>
      <c r="O15" s="1333"/>
      <c r="P15" s="1330"/>
      <c r="Q15" s="1330"/>
      <c r="R15" s="1330"/>
      <c r="S15" s="1333"/>
      <c r="T15" s="1333"/>
      <c r="U15" s="1183"/>
      <c r="V15" s="1183"/>
      <c r="W15" s="1183"/>
      <c r="X15" s="1183"/>
      <c r="Y15" s="538"/>
      <c r="Z15" s="538"/>
      <c r="AA15" s="538"/>
      <c r="AB15" s="538"/>
      <c r="AC15" s="538"/>
      <c r="AD15" s="538"/>
      <c r="AE15" s="538"/>
      <c r="AF15" s="538"/>
      <c r="AG15" s="538"/>
      <c r="AH15" s="538"/>
      <c r="AI15" s="538"/>
      <c r="AJ15" s="538"/>
      <c r="AK15" s="538"/>
      <c r="AL15" s="538"/>
      <c r="AM15" s="540">
        <v>15</v>
      </c>
    </row>
    <row r="16" spans="1:39" ht="15.75" customHeight="1">
      <c r="A16" s="543"/>
      <c r="B16" s="72"/>
      <c r="C16" s="734"/>
      <c r="D16" s="355"/>
      <c r="E16" s="505" t="s">
        <v>135</v>
      </c>
      <c r="F16" s="112"/>
      <c r="G16" s="112"/>
      <c r="H16" s="112"/>
      <c r="I16" s="112"/>
      <c r="J16" s="112"/>
      <c r="K16" s="112" t="s">
        <v>28</v>
      </c>
      <c r="L16" s="112"/>
      <c r="M16" s="542"/>
      <c r="N16" s="1544"/>
      <c r="AM16" s="517">
        <v>15</v>
      </c>
    </row>
    <row r="17" spans="1:39" ht="11.25" hidden="1" customHeight="1">
      <c r="A17" s="517" t="s">
        <v>83</v>
      </c>
      <c r="B17" s="517">
        <v>0</v>
      </c>
      <c r="C17" s="517">
        <v>3</v>
      </c>
      <c r="D17" s="517">
        <v>4</v>
      </c>
      <c r="E17" s="517">
        <v>44</v>
      </c>
      <c r="F17" s="517">
        <v>6</v>
      </c>
      <c r="G17" s="517">
        <v>4</v>
      </c>
      <c r="H17" s="517">
        <v>5</v>
      </c>
      <c r="I17" s="517">
        <v>52</v>
      </c>
      <c r="J17" s="517">
        <v>6</v>
      </c>
      <c r="K17" s="517">
        <v>3</v>
      </c>
      <c r="L17" s="517">
        <v>6</v>
      </c>
      <c r="M17" s="517">
        <v>56</v>
      </c>
      <c r="N17" s="518">
        <v>8</v>
      </c>
      <c r="O17" s="1330">
        <v>0</v>
      </c>
      <c r="P17" s="1330">
        <v>0</v>
      </c>
      <c r="Q17" s="1330">
        <v>0</v>
      </c>
      <c r="R17" s="1330">
        <v>0</v>
      </c>
      <c r="S17" s="1330">
        <v>0</v>
      </c>
      <c r="T17" s="1330">
        <v>0</v>
      </c>
      <c r="U17" s="1180">
        <v>0</v>
      </c>
      <c r="V17" s="1180">
        <v>0</v>
      </c>
      <c r="W17" s="1180">
        <v>0</v>
      </c>
      <c r="X17" s="1180">
        <v>0</v>
      </c>
      <c r="Y17" s="518">
        <v>0</v>
      </c>
      <c r="Z17" s="518">
        <v>0</v>
      </c>
      <c r="AA17" s="518">
        <v>0</v>
      </c>
      <c r="AB17" s="518">
        <v>0</v>
      </c>
      <c r="AC17" s="518">
        <v>0</v>
      </c>
      <c r="AD17" s="518">
        <v>0</v>
      </c>
      <c r="AE17" s="518">
        <v>0</v>
      </c>
      <c r="AF17" s="518">
        <v>0</v>
      </c>
      <c r="AG17" s="518">
        <v>0</v>
      </c>
      <c r="AH17" s="518">
        <v>0</v>
      </c>
      <c r="AI17" s="518">
        <v>0</v>
      </c>
      <c r="AJ17" s="518">
        <v>0</v>
      </c>
      <c r="AK17" s="518">
        <v>0</v>
      </c>
      <c r="AL17" s="518">
        <v>8</v>
      </c>
      <c r="AM17" s="517">
        <v>11</v>
      </c>
    </row>
  </sheetData>
  <sheetProtection formatColumns="0" formatRows="0" insertRows="0" deleteColumns="0" deleteRows="0" sort="0" autoFilter="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xr:uid="{00000000-0002-0000-0300-000000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5D37A6-F1EC-5E67-46FA-507E50D10B27}">
  <sheetPr>
    <tabColor rgb="FFCCCCFF"/>
  </sheetPr>
  <dimension ref="A1:AR164"/>
  <sheetViews>
    <sheetView showGridLines="0" topLeftCell="C4" zoomScale="90" workbookViewId="0">
      <selection activeCell="G34" sqref="G34:G44"/>
    </sheetView>
  </sheetViews>
  <sheetFormatPr defaultColWidth="9.09765625" defaultRowHeight="11.25" customHeight="1"/>
  <cols>
    <col min="1" max="2" width="3.69921875" style="2022" hidden="1" customWidth="1"/>
    <col min="3" max="3" width="3" style="2028" customWidth="1"/>
    <col min="4" max="4" width="6" style="2028" customWidth="1"/>
    <col min="5" max="5" width="42" style="2028" customWidth="1"/>
    <col min="6" max="6" width="15" style="2028" customWidth="1"/>
    <col min="7" max="7" width="42" style="2028" customWidth="1"/>
    <col min="8" max="8" width="3" style="2028" customWidth="1"/>
    <col min="9" max="9" width="5" style="2028" customWidth="1"/>
    <col min="10" max="10" width="47" style="2028" customWidth="1"/>
    <col min="11" max="12" width="3" style="2028" customWidth="1"/>
    <col min="13" max="13" width="5" style="2028" customWidth="1"/>
    <col min="14" max="14" width="28" style="2028" customWidth="1"/>
    <col min="15" max="16" width="3" style="2028" customWidth="1"/>
    <col min="17" max="17" width="5" style="2028" customWidth="1"/>
    <col min="18" max="18" width="34" style="2028" customWidth="1"/>
    <col min="19" max="20" width="3.69921875" style="2028" customWidth="1"/>
    <col min="21" max="21" width="5.69921875" style="2028" customWidth="1"/>
    <col min="22" max="22" width="34.3984375" style="2028" customWidth="1"/>
    <col min="23" max="23" width="30" style="2028" customWidth="1"/>
    <col min="24" max="24" width="3" style="2028" customWidth="1"/>
    <col min="25" max="28" width="9.796875" style="2029" hidden="1" customWidth="1"/>
    <col min="29" max="29" width="27" style="2029" hidden="1" customWidth="1"/>
    <col min="30" max="30" width="10.59765625" style="2029" hidden="1" customWidth="1"/>
    <col min="31" max="31" width="10.69921875" style="2029" hidden="1" customWidth="1"/>
    <col min="32" max="32" width="10" style="2029" hidden="1" customWidth="1"/>
    <col min="33" max="33" width="12.796875" style="2029" hidden="1" customWidth="1"/>
    <col min="34" max="34" width="24.3984375" style="2029" hidden="1" customWidth="1"/>
    <col min="35" max="35" width="15.796875" style="2029" hidden="1" customWidth="1"/>
    <col min="36" max="36" width="19.3984375" style="2029" hidden="1" customWidth="1"/>
    <col min="37" max="37" width="11" style="2029" hidden="1" customWidth="1"/>
    <col min="38" max="38" width="23.59765625" style="2029" hidden="1" customWidth="1"/>
    <col min="39" max="39" width="23.796875" style="2029" hidden="1" customWidth="1"/>
    <col min="40" max="40" width="25.296875" style="2029" hidden="1" customWidth="1"/>
    <col min="41" max="41" width="16.796875" style="2029" hidden="1" customWidth="1"/>
    <col min="42" max="42" width="29.59765625" style="2029" hidden="1" customWidth="1"/>
    <col min="43" max="43" width="29.796875" style="2029" hidden="1" customWidth="1"/>
    <col min="44" max="44" width="9.09765625" style="2028" hidden="1"/>
  </cols>
  <sheetData>
    <row r="1" spans="1:44" ht="11.25" hidden="1" customHeight="1">
      <c r="A1" s="92"/>
      <c r="AR1" s="42" t="s">
        <v>14</v>
      </c>
    </row>
    <row r="2" spans="1:44" ht="11.25" hidden="1" customHeight="1">
      <c r="AR2" s="42">
        <v>0</v>
      </c>
    </row>
    <row r="3" spans="1:44" ht="11.25" hidden="1" customHeight="1">
      <c r="AR3" s="42">
        <v>0</v>
      </c>
    </row>
    <row r="4" spans="1:44" ht="3" customHeight="1">
      <c r="AR4" s="42">
        <v>3</v>
      </c>
    </row>
    <row r="5" spans="1:44" s="2027" customFormat="1" ht="30.5" customHeight="1">
      <c r="A5" s="90"/>
      <c r="B5" s="90"/>
      <c r="D5" s="3111"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3112"/>
      <c r="F5" s="3112"/>
      <c r="G5" s="3112"/>
      <c r="H5" s="3112"/>
      <c r="I5" s="3112"/>
      <c r="J5" s="3113"/>
      <c r="K5" s="200"/>
      <c r="L5" s="79"/>
      <c r="M5" s="79"/>
      <c r="N5" s="79"/>
      <c r="O5" s="79"/>
      <c r="P5" s="79"/>
      <c r="Q5" s="79"/>
      <c r="R5" s="79"/>
      <c r="S5" s="225"/>
      <c r="T5" s="225"/>
      <c r="U5" s="225"/>
      <c r="V5" s="225"/>
      <c r="W5" s="79"/>
      <c r="Y5" s="1177"/>
      <c r="Z5" s="1177"/>
      <c r="AA5" s="1177"/>
      <c r="AB5" s="1177"/>
      <c r="AC5" s="1177"/>
      <c r="AD5" s="1177"/>
      <c r="AE5" s="1177"/>
      <c r="AF5" s="1177"/>
      <c r="AG5" s="1177"/>
      <c r="AH5" s="1177"/>
      <c r="AI5" s="1177"/>
      <c r="AJ5" s="1177"/>
      <c r="AK5" s="1177"/>
      <c r="AL5" s="1177"/>
      <c r="AM5" s="1177"/>
      <c r="AN5" s="1177"/>
      <c r="AO5" s="1177"/>
      <c r="AP5" s="1177"/>
      <c r="AQ5" s="1177"/>
      <c r="AR5" s="49">
        <v>29</v>
      </c>
    </row>
    <row r="6" spans="1:44" s="2027" customFormat="1" ht="14.65" customHeight="1">
      <c r="A6" s="519"/>
      <c r="B6" s="519"/>
      <c r="C6" s="519"/>
      <c r="D6" s="3117" t="str">
        <f>IF(org=0,"Не определено",org)</f>
        <v>ООО "РСО"</v>
      </c>
      <c r="E6" s="3117"/>
      <c r="F6" s="3117"/>
      <c r="G6" s="3117"/>
      <c r="H6" s="3117"/>
      <c r="I6" s="3117"/>
      <c r="J6" s="3117"/>
      <c r="K6" s="520"/>
      <c r="L6" s="520"/>
      <c r="M6" s="520"/>
      <c r="N6" s="520"/>
      <c r="O6" s="794"/>
      <c r="P6" s="794"/>
      <c r="Q6" s="794"/>
      <c r="R6" s="794"/>
      <c r="S6" s="794"/>
      <c r="T6" s="794"/>
      <c r="U6" s="794"/>
      <c r="V6" s="794"/>
      <c r="W6" s="794"/>
      <c r="X6" s="520"/>
      <c r="Y6" s="1178"/>
      <c r="Z6" s="1178"/>
      <c r="AA6" s="1178"/>
      <c r="AB6" s="1178"/>
      <c r="AC6" s="1178"/>
      <c r="AD6" s="1178"/>
      <c r="AE6" s="1178"/>
      <c r="AF6" s="1178"/>
      <c r="AG6" s="1178"/>
      <c r="AH6" s="1178"/>
      <c r="AI6" s="1178"/>
      <c r="AJ6" s="1178"/>
      <c r="AK6" s="1178"/>
      <c r="AL6" s="1178"/>
      <c r="AM6" s="1178"/>
      <c r="AN6" s="1178"/>
      <c r="AO6" s="1178"/>
      <c r="AP6" s="1178"/>
      <c r="AQ6" s="1178"/>
      <c r="AR6" s="521">
        <v>14</v>
      </c>
    </row>
    <row r="7" spans="1:44" s="2031" customFormat="1" ht="11.5" customHeight="1">
      <c r="A7" s="146"/>
      <c r="B7" s="146"/>
      <c r="D7" s="3114"/>
      <c r="E7" s="3115"/>
      <c r="F7" s="3115"/>
      <c r="G7" s="3115"/>
      <c r="H7" s="3115"/>
      <c r="I7" s="3115"/>
      <c r="J7" s="3116"/>
      <c r="S7" s="234"/>
      <c r="T7" s="234"/>
      <c r="U7" s="234"/>
      <c r="V7" s="234"/>
      <c r="Y7" s="1179"/>
      <c r="Z7" s="1179"/>
      <c r="AA7" s="1179"/>
      <c r="AB7" s="1179"/>
      <c r="AC7" s="1179"/>
      <c r="AD7" s="1179"/>
      <c r="AE7" s="1179"/>
      <c r="AF7" s="1179"/>
      <c r="AG7" s="1179"/>
      <c r="AH7" s="1179"/>
      <c r="AI7" s="1179"/>
      <c r="AJ7" s="1179"/>
      <c r="AK7" s="1179"/>
      <c r="AL7" s="1179"/>
      <c r="AM7" s="1179"/>
      <c r="AN7" s="1179"/>
      <c r="AO7" s="1179"/>
      <c r="AP7" s="1179"/>
      <c r="AQ7" s="1179"/>
      <c r="AR7" s="211">
        <v>11</v>
      </c>
    </row>
    <row r="8" spans="1:44" s="2027" customFormat="1" ht="1" customHeight="1">
      <c r="A8" s="90"/>
      <c r="B8" s="90"/>
      <c r="D8" s="147"/>
      <c r="E8" s="147"/>
      <c r="F8" s="147"/>
      <c r="G8" s="147"/>
      <c r="H8" s="147"/>
      <c r="I8" s="147"/>
      <c r="J8" s="147"/>
      <c r="K8" s="147"/>
      <c r="L8" s="147"/>
      <c r="M8" s="147"/>
      <c r="N8" s="147"/>
      <c r="O8" s="147"/>
      <c r="P8" s="147"/>
      <c r="Q8" s="147"/>
      <c r="R8" s="147"/>
      <c r="S8" s="147"/>
      <c r="T8" s="147"/>
      <c r="U8" s="147"/>
      <c r="V8" s="147"/>
      <c r="W8" s="147"/>
      <c r="X8" s="69"/>
      <c r="Y8" s="1177"/>
      <c r="Z8" s="1177"/>
      <c r="AA8" s="1177"/>
      <c r="AB8" s="1177"/>
      <c r="AC8" s="1177"/>
      <c r="AD8" s="1177"/>
      <c r="AE8" s="1177"/>
      <c r="AF8" s="1177"/>
      <c r="AG8" s="1177"/>
      <c r="AH8" s="1177"/>
      <c r="AI8" s="1177"/>
      <c r="AJ8" s="1177"/>
      <c r="AK8" s="1177"/>
      <c r="AL8" s="1177"/>
      <c r="AM8" s="1177"/>
      <c r="AN8" s="1177"/>
      <c r="AO8" s="1177"/>
      <c r="AP8" s="1177"/>
      <c r="AQ8" s="1177"/>
      <c r="AR8" s="49">
        <v>1</v>
      </c>
    </row>
    <row r="9" spans="1:44" ht="28.5" customHeight="1">
      <c r="D9" s="3067" t="s">
        <v>89</v>
      </c>
      <c r="E9" s="3038" t="s">
        <v>136</v>
      </c>
      <c r="F9" s="3037"/>
      <c r="G9" s="3067" t="s">
        <v>120</v>
      </c>
      <c r="H9" s="3067" t="s">
        <v>89</v>
      </c>
      <c r="I9" s="3067"/>
      <c r="J9" s="3067" t="s">
        <v>137</v>
      </c>
      <c r="K9" s="3106" t="s">
        <v>138</v>
      </c>
      <c r="L9" s="3106"/>
      <c r="M9" s="3106"/>
      <c r="N9" s="3106"/>
      <c r="O9" s="3106" t="s">
        <v>139</v>
      </c>
      <c r="P9" s="3106"/>
      <c r="Q9" s="3106"/>
      <c r="R9" s="3106"/>
      <c r="S9" s="3106" t="s">
        <v>140</v>
      </c>
      <c r="T9" s="3106"/>
      <c r="U9" s="3106"/>
      <c r="V9" s="3106"/>
      <c r="W9" s="3067" t="s">
        <v>141</v>
      </c>
      <c r="AR9" s="42">
        <v>27</v>
      </c>
    </row>
    <row r="10" spans="1:44" ht="31.5" customHeight="1">
      <c r="D10" s="3067"/>
      <c r="E10" s="1201" t="s">
        <v>90</v>
      </c>
      <c r="F10" s="1201" t="s">
        <v>142</v>
      </c>
      <c r="G10" s="3067"/>
      <c r="H10" s="3067"/>
      <c r="I10" s="3067"/>
      <c r="J10" s="3067"/>
      <c r="K10" s="48" t="s">
        <v>123</v>
      </c>
      <c r="L10" s="3067" t="s">
        <v>89</v>
      </c>
      <c r="M10" s="3067"/>
      <c r="N10" s="48" t="s">
        <v>143</v>
      </c>
      <c r="O10" s="48" t="s">
        <v>123</v>
      </c>
      <c r="P10" s="3067" t="s">
        <v>89</v>
      </c>
      <c r="Q10" s="3067"/>
      <c r="R10" s="48" t="s">
        <v>143</v>
      </c>
      <c r="S10" s="218" t="s">
        <v>123</v>
      </c>
      <c r="T10" s="3067" t="s">
        <v>89</v>
      </c>
      <c r="U10" s="3067"/>
      <c r="V10" s="218" t="s">
        <v>90</v>
      </c>
      <c r="W10" s="3067"/>
      <c r="Z10" s="1176" t="s">
        <v>144</v>
      </c>
      <c r="AA10" s="1176" t="s">
        <v>145</v>
      </c>
      <c r="AB10" s="1176" t="s">
        <v>146</v>
      </c>
      <c r="AC10" s="1176" t="s">
        <v>147</v>
      </c>
      <c r="AD10" s="1176" t="s">
        <v>148</v>
      </c>
      <c r="AE10" s="1176" t="s">
        <v>149</v>
      </c>
      <c r="AF10" s="1176" t="s">
        <v>150</v>
      </c>
      <c r="AG10" s="1176" t="s">
        <v>151</v>
      </c>
      <c r="AH10" s="1176" t="s">
        <v>152</v>
      </c>
      <c r="AI10" s="1176" t="s">
        <v>153</v>
      </c>
      <c r="AJ10" s="1176" t="s">
        <v>154</v>
      </c>
      <c r="AK10" s="1176" t="s">
        <v>155</v>
      </c>
      <c r="AL10" s="1176" t="s">
        <v>156</v>
      </c>
      <c r="AM10" s="1176" t="s">
        <v>157</v>
      </c>
      <c r="AN10" s="1176" t="s">
        <v>158</v>
      </c>
      <c r="AO10" s="1176" t="s">
        <v>159</v>
      </c>
      <c r="AP10" s="1176" t="s">
        <v>160</v>
      </c>
      <c r="AQ10" s="1176" t="s">
        <v>161</v>
      </c>
      <c r="AR10" s="42">
        <v>30</v>
      </c>
    </row>
    <row r="11" spans="1:44" s="2022" customFormat="1" ht="12" hidden="1" customHeight="1">
      <c r="D11" s="1166" t="s">
        <v>124</v>
      </c>
      <c r="E11" s="1166" t="s">
        <v>104</v>
      </c>
      <c r="F11" s="1166"/>
      <c r="G11" s="1166" t="s">
        <v>91</v>
      </c>
      <c r="H11" s="3107" t="s">
        <v>125</v>
      </c>
      <c r="I11" s="3107"/>
      <c r="J11" s="1166" t="s">
        <v>93</v>
      </c>
      <c r="K11" s="1166" t="s">
        <v>94</v>
      </c>
      <c r="L11" s="3107" t="s">
        <v>126</v>
      </c>
      <c r="M11" s="3107"/>
      <c r="N11" s="1166" t="s">
        <v>107</v>
      </c>
      <c r="O11" s="1166" t="s">
        <v>162</v>
      </c>
      <c r="P11" s="3107" t="s">
        <v>163</v>
      </c>
      <c r="Q11" s="3107"/>
      <c r="R11" s="1166" t="s">
        <v>164</v>
      </c>
      <c r="S11" s="1166" t="s">
        <v>163</v>
      </c>
      <c r="T11" s="3107" t="s">
        <v>164</v>
      </c>
      <c r="U11" s="3107"/>
      <c r="V11" s="1166" t="s">
        <v>165</v>
      </c>
      <c r="W11" s="1166" t="s">
        <v>166</v>
      </c>
      <c r="Y11" s="1176"/>
      <c r="Z11" s="1176"/>
      <c r="AA11" s="1176"/>
      <c r="AB11" s="1176"/>
      <c r="AC11" s="1176"/>
      <c r="AD11" s="1176"/>
      <c r="AE11" s="1176"/>
      <c r="AF11" s="1176"/>
      <c r="AG11" s="1176"/>
      <c r="AH11" s="1176"/>
      <c r="AI11" s="1176"/>
      <c r="AJ11" s="1176"/>
      <c r="AK11" s="1176"/>
      <c r="AL11" s="1176"/>
      <c r="AM11" s="1176"/>
      <c r="AN11" s="1176"/>
      <c r="AO11" s="1176"/>
      <c r="AP11" s="1176"/>
      <c r="AQ11" s="1176"/>
      <c r="AR11" s="212">
        <v>0</v>
      </c>
    </row>
    <row r="12" spans="1:44" ht="14.25" hidden="1" customHeight="1">
      <c r="C12" s="144"/>
      <c r="D12" s="1199">
        <v>0</v>
      </c>
      <c r="E12" s="185"/>
      <c r="F12" s="185"/>
      <c r="G12" s="185"/>
      <c r="H12" s="186"/>
      <c r="I12" s="186"/>
      <c r="J12" s="94"/>
      <c r="K12" s="50"/>
      <c r="L12" s="94"/>
      <c r="M12" s="94"/>
      <c r="N12" s="187"/>
      <c r="O12" s="50"/>
      <c r="P12" s="94"/>
      <c r="Q12" s="94"/>
      <c r="R12" s="188"/>
      <c r="S12" s="219"/>
      <c r="T12" s="227"/>
      <c r="U12" s="227"/>
      <c r="V12" s="231"/>
      <c r="W12" s="50"/>
      <c r="X12" s="78"/>
      <c r="AR12" s="42">
        <v>0</v>
      </c>
    </row>
    <row r="13" spans="1:44" s="2028" customFormat="1" ht="17.25" customHeight="1">
      <c r="A13" s="256"/>
      <c r="C13" s="144"/>
      <c r="D13" s="3087">
        <v>1</v>
      </c>
      <c r="E13" s="3094" t="s">
        <v>167</v>
      </c>
      <c r="F13" s="3096" t="s">
        <v>19</v>
      </c>
      <c r="G13" s="3094"/>
      <c r="H13" s="3099"/>
      <c r="I13" s="3101"/>
      <c r="J13" s="3103"/>
      <c r="K13" s="3088"/>
      <c r="L13" s="3088"/>
      <c r="M13" s="3088"/>
      <c r="N13" s="3090"/>
      <c r="O13" s="3088"/>
      <c r="P13" s="3088"/>
      <c r="Q13" s="3088"/>
      <c r="R13" s="3093"/>
      <c r="S13" s="3088"/>
      <c r="T13" s="1337"/>
      <c r="U13" s="1337"/>
      <c r="V13" s="1336"/>
      <c r="W13" s="1213"/>
      <c r="Y13" s="1184"/>
      <c r="Z13" s="1184"/>
      <c r="AA13" s="1184"/>
      <c r="AB13" s="1184"/>
      <c r="AC13" s="1184" t="s">
        <v>168</v>
      </c>
      <c r="AD13" s="1184" t="s">
        <v>169</v>
      </c>
      <c r="AE13" s="1184" t="s">
        <v>170</v>
      </c>
      <c r="AF13" s="1184" t="s">
        <v>171</v>
      </c>
      <c r="AG13" s="1184" t="s">
        <v>172</v>
      </c>
      <c r="AH13" s="1184"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184" t="str">
        <f>IF($G$13=0,"",$G$13)</f>
        <v/>
      </c>
      <c r="AJ13" s="1184" t="str">
        <f>IF($J$13=0,"",$J$13)</f>
        <v/>
      </c>
      <c r="AK13" s="1184" t="str">
        <f>IF($K$13="нет","без дифференциации",IF($N$13=0,"",$N$13))</f>
        <v/>
      </c>
      <c r="AL13" s="1184" t="str">
        <f>IF($O$13="нет","без дифференциации",IF($R$13=0,"",$R$13))</f>
        <v/>
      </c>
      <c r="AM13" s="1184" t="str">
        <f>IF($S$13="нет","без дифференциации",IF($V$13=0,"",$V$13))</f>
        <v/>
      </c>
      <c r="AN13" s="1184">
        <f>$I$13</f>
        <v>0</v>
      </c>
      <c r="AO13" s="1184" t="str">
        <f>$I$13&amp;"."&amp;$M$13</f>
        <v>.</v>
      </c>
      <c r="AP13" s="1184" t="str">
        <f>$I$13&amp;"."&amp;$M$13&amp;"."&amp;$Q$13</f>
        <v>..</v>
      </c>
      <c r="AQ13" s="1184" t="str">
        <f>$I$13&amp;"."&amp;$M$13&amp;"."&amp;$Q$13&amp;"."&amp;$U$13</f>
        <v>...</v>
      </c>
      <c r="AR13" s="684">
        <v>0</v>
      </c>
    </row>
    <row r="14" spans="1:44" s="2028" customFormat="1" ht="17.25" customHeight="1">
      <c r="A14" s="256"/>
      <c r="C14" s="255"/>
      <c r="D14" s="3087"/>
      <c r="E14" s="3094"/>
      <c r="F14" s="3097"/>
      <c r="G14" s="3094"/>
      <c r="H14" s="3100"/>
      <c r="I14" s="3102"/>
      <c r="J14" s="3104"/>
      <c r="K14" s="3089"/>
      <c r="L14" s="3089"/>
      <c r="M14" s="3089"/>
      <c r="N14" s="3091"/>
      <c r="O14" s="3089"/>
      <c r="P14" s="3089"/>
      <c r="Q14" s="3089"/>
      <c r="R14" s="3092"/>
      <c r="S14" s="3089"/>
      <c r="T14" s="1214"/>
      <c r="U14" s="1214"/>
      <c r="V14" s="1214"/>
      <c r="W14" s="1215"/>
      <c r="Y14" s="1176"/>
      <c r="Z14" s="1176"/>
      <c r="AA14" s="1176"/>
      <c r="AB14" s="1176"/>
      <c r="AC14" s="1176"/>
      <c r="AD14" s="1176"/>
      <c r="AE14" s="1176"/>
      <c r="AF14" s="1176"/>
      <c r="AG14" s="1176"/>
      <c r="AH14" s="1176"/>
      <c r="AI14" s="1176"/>
      <c r="AJ14" s="1176"/>
      <c r="AK14" s="1176"/>
      <c r="AL14" s="1176"/>
      <c r="AM14" s="1176"/>
      <c r="AN14" s="1176"/>
      <c r="AO14" s="1176"/>
      <c r="AP14" s="1176"/>
      <c r="AQ14" s="1176"/>
      <c r="AR14" s="684">
        <v>0</v>
      </c>
    </row>
    <row r="15" spans="1:44" s="2028" customFormat="1" ht="17.25" customHeight="1">
      <c r="A15" s="256"/>
      <c r="C15" s="144"/>
      <c r="D15" s="3087"/>
      <c r="E15" s="3094"/>
      <c r="F15" s="3097"/>
      <c r="G15" s="3094"/>
      <c r="H15" s="3100"/>
      <c r="I15" s="3102"/>
      <c r="J15" s="3105"/>
      <c r="K15" s="3089"/>
      <c r="L15" s="3089"/>
      <c r="M15" s="3089"/>
      <c r="N15" s="3092"/>
      <c r="O15" s="3089"/>
      <c r="P15" s="1335"/>
      <c r="Q15" s="1214"/>
      <c r="R15" s="1214"/>
      <c r="S15" s="264"/>
      <c r="T15" s="264"/>
      <c r="U15" s="264"/>
      <c r="V15" s="264"/>
      <c r="W15" s="1215"/>
      <c r="Y15" s="1184"/>
      <c r="Z15" s="1184"/>
      <c r="AA15" s="1184"/>
      <c r="AB15" s="1184"/>
      <c r="AC15" s="1184"/>
      <c r="AD15" s="1184"/>
      <c r="AE15" s="1184"/>
      <c r="AF15" s="1184"/>
      <c r="AG15" s="1184"/>
      <c r="AH15" s="1184"/>
      <c r="AI15" s="1184"/>
      <c r="AJ15" s="1184"/>
      <c r="AK15" s="1184"/>
      <c r="AL15" s="1184"/>
      <c r="AM15" s="1184"/>
      <c r="AN15" s="1184"/>
      <c r="AO15" s="1184"/>
      <c r="AP15" s="1184"/>
      <c r="AQ15" s="1184"/>
      <c r="AR15" s="1334">
        <v>0</v>
      </c>
    </row>
    <row r="16" spans="1:44" s="2028" customFormat="1" ht="17.25" customHeight="1">
      <c r="A16" s="256"/>
      <c r="C16" s="255"/>
      <c r="D16" s="3087"/>
      <c r="E16" s="3094"/>
      <c r="F16" s="3097"/>
      <c r="G16" s="3094"/>
      <c r="H16" s="3100"/>
      <c r="I16" s="3102"/>
      <c r="J16" s="3105"/>
      <c r="K16" s="3089"/>
      <c r="L16" s="1214"/>
      <c r="M16" s="1214"/>
      <c r="N16" s="1214"/>
      <c r="O16" s="1214"/>
      <c r="P16" s="1214"/>
      <c r="Q16" s="1214"/>
      <c r="R16" s="1214"/>
      <c r="S16" s="264"/>
      <c r="T16" s="264"/>
      <c r="U16" s="264"/>
      <c r="V16" s="264"/>
      <c r="W16" s="1215"/>
      <c r="Y16" s="1176"/>
      <c r="Z16" s="1176"/>
      <c r="AA16" s="1176"/>
      <c r="AB16" s="1176"/>
      <c r="AC16" s="1176"/>
      <c r="AD16" s="1176"/>
      <c r="AE16" s="1176"/>
      <c r="AF16" s="1176"/>
      <c r="AG16" s="1176"/>
      <c r="AH16" s="1176"/>
      <c r="AI16" s="1176"/>
      <c r="AJ16" s="1176"/>
      <c r="AK16" s="1176"/>
      <c r="AL16" s="1176"/>
      <c r="AM16" s="1176"/>
      <c r="AN16" s="1176"/>
      <c r="AO16" s="1176"/>
      <c r="AP16" s="1176"/>
      <c r="AQ16" s="1176"/>
      <c r="AR16" s="1334">
        <v>0</v>
      </c>
    </row>
    <row r="17" spans="1:44" s="2028" customFormat="1" ht="17.25" customHeight="1">
      <c r="A17" s="256"/>
      <c r="C17" s="255"/>
      <c r="D17" s="3075"/>
      <c r="E17" s="3095"/>
      <c r="F17" s="3098"/>
      <c r="G17" s="3095"/>
      <c r="H17" s="1216"/>
      <c r="I17" s="1217"/>
      <c r="J17" s="1217"/>
      <c r="K17" s="1217"/>
      <c r="L17" s="1217"/>
      <c r="M17" s="1217"/>
      <c r="N17" s="1217"/>
      <c r="O17" s="1217"/>
      <c r="P17" s="1217"/>
      <c r="Q17" s="1217"/>
      <c r="R17" s="1217"/>
      <c r="S17" s="1218"/>
      <c r="T17" s="1218"/>
      <c r="U17" s="1218"/>
      <c r="V17" s="1218"/>
      <c r="W17" s="1219"/>
      <c r="Y17" s="1176"/>
      <c r="Z17" s="1176"/>
      <c r="AA17" s="1176"/>
      <c r="AB17" s="1176"/>
      <c r="AC17" s="1176"/>
      <c r="AD17" s="1176"/>
      <c r="AE17" s="1176"/>
      <c r="AF17" s="1176"/>
      <c r="AG17" s="1176"/>
      <c r="AH17" s="1176"/>
      <c r="AI17" s="1176"/>
      <c r="AJ17" s="1176"/>
      <c r="AK17" s="1176"/>
      <c r="AL17" s="1176"/>
      <c r="AM17" s="1176"/>
      <c r="AN17" s="1176"/>
      <c r="AO17" s="1176"/>
      <c r="AP17" s="1176"/>
      <c r="AQ17" s="1176"/>
      <c r="AR17" s="684">
        <v>0</v>
      </c>
    </row>
    <row r="18" spans="1:44" s="2028" customFormat="1" ht="17.25" customHeight="1">
      <c r="A18" s="256"/>
      <c r="C18" s="144"/>
      <c r="D18" s="3087">
        <v>2</v>
      </c>
      <c r="E18" s="3118" t="s">
        <v>173</v>
      </c>
      <c r="F18" s="3096" t="s">
        <v>67</v>
      </c>
      <c r="G18" s="3108" t="str">
        <f>INDEX(VD_NAME_LIST,MATCH("4190064",VD_ID_LIST,0))&amp;"; "&amp;INDEX(VD_NAME_LIST,MATCH("4190067",VD_ID_LIST,0))&amp;"; "&amp;INDEX(VD_NAME_LIST,MATCH("4190068",VD_ID_LIST,0))&amp;"; "&amp;INDEX(VD_NAME_LIST,MATCH("4190069",VD_ID_LIST,0))&amp;"; "&amp;INDEX(VD_NAME_LIST,MATCH("4190070",VD_ID_LIST,0))&amp;"; "&amp;INDEX(VD_NAME_LIST,MATCH("4190071",VD_ID_LIST,0))</f>
        <v>Производство тепловой энергии. Некомбинированная выработка; Производство. Теплоноситель; Передача. Тепловая энергия; Передача. Теплоноситель; Сбыт. Тепловая энергия; Сбыт. Теплоноситель</v>
      </c>
      <c r="H18" s="3084"/>
      <c r="I18" s="3084">
        <v>1</v>
      </c>
      <c r="J18" s="3081"/>
      <c r="K18" s="3078" t="s">
        <v>67</v>
      </c>
      <c r="L18" s="3049"/>
      <c r="M18" s="3049" t="s">
        <v>124</v>
      </c>
      <c r="N18" s="3076" t="str">
        <f>IF(Z18="","",INDEX(TERRITORY_MR_LIST,MATCH(Z18,TERRITORY_LIST_ID,0)))</f>
        <v>Территория 1</v>
      </c>
      <c r="O18" s="3078" t="s">
        <v>19</v>
      </c>
      <c r="P18" s="3049"/>
      <c r="Q18" s="3049" t="s">
        <v>124</v>
      </c>
      <c r="R18" s="3080" t="s">
        <v>28</v>
      </c>
      <c r="S18" s="3048" t="s">
        <v>19</v>
      </c>
      <c r="T18" s="2034"/>
      <c r="U18" s="2034" t="s">
        <v>124</v>
      </c>
      <c r="V18" s="2035" t="s">
        <v>28</v>
      </c>
      <c r="W18" s="2033"/>
      <c r="X18" s="1184"/>
      <c r="Y18" s="1184"/>
      <c r="Z18" s="1184" t="s">
        <v>99</v>
      </c>
      <c r="AA18" s="1184"/>
      <c r="AB18" s="1184" t="s">
        <v>174</v>
      </c>
      <c r="AC18" s="1184" t="s">
        <v>175</v>
      </c>
      <c r="AD18" s="1184" t="s">
        <v>176</v>
      </c>
      <c r="AE18" s="1184" t="s">
        <v>177</v>
      </c>
      <c r="AF18" s="1184" t="s">
        <v>178</v>
      </c>
      <c r="AG18" s="1184" t="s">
        <v>179</v>
      </c>
      <c r="AH18" s="1184" t="str">
        <f>IF($E$18=0,"",$E$18)</f>
        <v>Тарифы на тепловую энергию (мощность), поставляемую теплоснабжающими организациями потребителям, другим теплоснабжающим организациям</v>
      </c>
      <c r="AI18" s="1184" t="str">
        <f>IF($G$18=0,"",$G$18)</f>
        <v>Производство тепловой энергии. Некомбинированная выработка; Производство. Теплоноситель; Передача. Тепловая энергия; Передача. Теплоноситель; Сбыт. Тепловая энергия; Сбыт. Теплоноситель</v>
      </c>
      <c r="AJ18" s="1184" t="str">
        <f>IF($J$18=0,"",$J$18)</f>
        <v/>
      </c>
      <c r="AK18" s="1184" t="str">
        <f>IF($K$18="нет","без дифференциации",IF($N$18=0,"",$N$18))</f>
        <v>Территория 1</v>
      </c>
      <c r="AL18" s="1184" t="str">
        <f>IF($O$18="нет","без дифференциации",IF($R$18=0,"",$R$18))</f>
        <v>без дифференциации</v>
      </c>
      <c r="AM18" s="1184" t="str">
        <f>IF($S$18="нет","без дифференциации",IF($V$18=0,"",$V$18))</f>
        <v>без дифференциации</v>
      </c>
      <c r="AN18" s="1688">
        <f>$I$18</f>
        <v>1</v>
      </c>
      <c r="AO18" s="1184" t="str">
        <f>$I$18&amp;"."&amp;$M$18</f>
        <v>1.1</v>
      </c>
      <c r="AP18" s="1176" t="str">
        <f>$I$18&amp;"."&amp;$M$18&amp;"."&amp;$Q$18</f>
        <v>1.1.1</v>
      </c>
      <c r="AQ18" s="1176" t="str">
        <f>$I$18&amp;"."&amp;$M$18&amp;"."&amp;$Q$18&amp;"."&amp;$U$18</f>
        <v>1.1.1.1</v>
      </c>
      <c r="AR18" s="1200">
        <v>0</v>
      </c>
    </row>
    <row r="19" spans="1:44" s="2028" customFormat="1" ht="17.25" customHeight="1">
      <c r="A19" s="256"/>
      <c r="C19" s="255"/>
      <c r="D19" s="3087"/>
      <c r="E19" s="3118"/>
      <c r="F19" s="3097"/>
      <c r="G19" s="3108"/>
      <c r="H19" s="3084"/>
      <c r="I19" s="3084"/>
      <c r="J19" s="3081"/>
      <c r="K19" s="3079"/>
      <c r="L19" s="3049"/>
      <c r="M19" s="3049"/>
      <c r="N19" s="3076"/>
      <c r="O19" s="3079"/>
      <c r="P19" s="3049"/>
      <c r="Q19" s="3049"/>
      <c r="R19" s="3080" t="s">
        <v>28</v>
      </c>
      <c r="S19" s="3048"/>
      <c r="T19" s="2036"/>
      <c r="U19" s="2037"/>
      <c r="V19" s="2038" t="s">
        <v>180</v>
      </c>
      <c r="W19" s="2039"/>
      <c r="X19" s="1176"/>
      <c r="Y19" s="1176"/>
      <c r="Z19" s="1176"/>
      <c r="AA19" s="1176"/>
      <c r="AB19" s="1176"/>
      <c r="AC19" s="1176"/>
      <c r="AD19" s="1176"/>
      <c r="AE19" s="1176"/>
      <c r="AF19" s="1176"/>
      <c r="AG19" s="1176"/>
      <c r="AH19" s="1176"/>
      <c r="AI19" s="1176"/>
      <c r="AJ19" s="1176"/>
      <c r="AK19" s="1176"/>
      <c r="AL19" s="1176"/>
      <c r="AM19" s="1176"/>
      <c r="AN19" s="1176"/>
      <c r="AO19" s="1176"/>
      <c r="AP19" s="1176"/>
      <c r="AQ19" s="1176"/>
      <c r="AR19" s="1200">
        <v>0</v>
      </c>
    </row>
    <row r="20" spans="1:44" s="2028" customFormat="1" ht="17.25" customHeight="1">
      <c r="A20" s="256"/>
      <c r="C20" s="255"/>
      <c r="D20" s="3075"/>
      <c r="E20" s="3119"/>
      <c r="F20" s="3097"/>
      <c r="G20" s="3109"/>
      <c r="H20" s="3075"/>
      <c r="I20" s="3075"/>
      <c r="J20" s="3082"/>
      <c r="K20" s="3079"/>
      <c r="L20" s="3075"/>
      <c r="M20" s="3075"/>
      <c r="N20" s="3077"/>
      <c r="O20" s="3053"/>
      <c r="P20" s="2040"/>
      <c r="Q20" s="2041"/>
      <c r="R20" s="2042" t="s">
        <v>181</v>
      </c>
      <c r="S20" s="2043"/>
      <c r="T20" s="2044"/>
      <c r="U20" s="2045"/>
      <c r="V20" s="2046"/>
      <c r="W20" s="2047"/>
      <c r="X20" s="1176"/>
      <c r="Y20" s="1176"/>
      <c r="Z20" s="1176"/>
      <c r="AA20" s="1176"/>
      <c r="AB20" s="1176"/>
      <c r="AC20" s="1176"/>
      <c r="AD20" s="1176"/>
      <c r="AE20" s="1176"/>
      <c r="AF20" s="1176"/>
      <c r="AG20" s="1176"/>
      <c r="AH20" s="1176"/>
      <c r="AI20" s="1176"/>
      <c r="AJ20" s="1176"/>
      <c r="AK20" s="1176"/>
      <c r="AL20" s="1176"/>
      <c r="AM20" s="1176"/>
      <c r="AN20" s="1176"/>
      <c r="AO20" s="1176"/>
      <c r="AP20" s="1176"/>
      <c r="AQ20" s="1176"/>
      <c r="AR20" s="1200">
        <v>0</v>
      </c>
    </row>
    <row r="21" spans="1:44" ht="17.25" customHeight="1">
      <c r="A21" s="1754"/>
      <c r="B21" s="2049"/>
      <c r="C21" s="1756"/>
      <c r="D21" s="3085"/>
      <c r="E21" s="3120"/>
      <c r="F21" s="3097"/>
      <c r="G21" s="3110"/>
      <c r="H21" s="3085"/>
      <c r="I21" s="3085"/>
      <c r="J21" s="3083"/>
      <c r="K21" s="3086"/>
      <c r="L21" s="3049" t="s">
        <v>105</v>
      </c>
      <c r="M21" s="3049" t="s">
        <v>104</v>
      </c>
      <c r="N21" s="3076" t="str">
        <f>IF(Z21="","",INDEX(TERRITORY_MR_LIST,MATCH(Z21,TERRITORY_LIST_ID,0)))</f>
        <v>Территория 2</v>
      </c>
      <c r="O21" s="3078" t="s">
        <v>19</v>
      </c>
      <c r="P21" s="3049"/>
      <c r="Q21" s="3049" t="s">
        <v>124</v>
      </c>
      <c r="R21" s="3080" t="s">
        <v>28</v>
      </c>
      <c r="S21" s="3048" t="s">
        <v>19</v>
      </c>
      <c r="T21" s="1727"/>
      <c r="U21" s="1727" t="s">
        <v>124</v>
      </c>
      <c r="V21" s="2050" t="s">
        <v>28</v>
      </c>
      <c r="W21" s="1717"/>
      <c r="X21" s="2049"/>
      <c r="Y21" s="1184"/>
      <c r="Z21" s="1184" t="s">
        <v>106</v>
      </c>
      <c r="AA21" s="1184"/>
      <c r="AB21" s="1184"/>
      <c r="AC21" s="2051" t="s">
        <v>175</v>
      </c>
      <c r="AD21" s="2051" t="s">
        <v>176</v>
      </c>
      <c r="AE21" s="1184" t="s">
        <v>182</v>
      </c>
      <c r="AF21" s="1184" t="s">
        <v>183</v>
      </c>
      <c r="AG21" s="1184" t="s">
        <v>184</v>
      </c>
      <c r="AH21" s="1184" t="str">
        <f>IF($E$18=0,"",$E$18)</f>
        <v>Тарифы на тепловую энергию (мощность), поставляемую теплоснабжающими организациями потребителям, другим теплоснабжающим организациям</v>
      </c>
      <c r="AI21" s="1184" t="str">
        <f>IF($G$18=0,"",$G$18)</f>
        <v>Производство тепловой энергии. Некомбинированная выработка; Производство. Теплоноситель; Передача. Тепловая энергия; Передача. Теплоноситель; Сбыт. Тепловая энергия; Сбыт. Теплоноситель</v>
      </c>
      <c r="AJ21" s="1184" t="str">
        <f>IF($J$18=0,"",$J$18)</f>
        <v/>
      </c>
      <c r="AK21" s="1184" t="str">
        <f>IF($K$21="нет","без дифференциации",IF($N$21=0,"",$N$21))</f>
        <v>Территория 2</v>
      </c>
      <c r="AL21" s="1758" t="str">
        <f>IF($O$21="нет","без дифференциации",IF($R$21=0,"",$R$21))</f>
        <v>без дифференциации</v>
      </c>
      <c r="AM21" s="1758" t="str">
        <f>IF($S$21="нет","без дифференциации",IF($V$21=0,"",$V$21))</f>
        <v>без дифференциации</v>
      </c>
      <c r="AN21" s="1184">
        <f>$I$18</f>
        <v>1</v>
      </c>
      <c r="AO21" s="1184" t="str">
        <f>$I$18&amp;"."&amp;$M$21</f>
        <v>1.2</v>
      </c>
      <c r="AP21" s="1184" t="str">
        <f>$I$18&amp;"."&amp;$M$21&amp;"."&amp;$Q$21</f>
        <v>1.2.1</v>
      </c>
      <c r="AQ21" s="1184" t="str">
        <f>$I$18&amp;"."&amp;$M$21&amp;"."&amp;$Q$21&amp;"."&amp;$U$21</f>
        <v>1.2.1.1</v>
      </c>
      <c r="AR21" s="2049"/>
    </row>
    <row r="22" spans="1:44" ht="17.25" customHeight="1">
      <c r="A22" s="1754"/>
      <c r="B22" s="2049"/>
      <c r="C22" s="1759"/>
      <c r="D22" s="3085"/>
      <c r="E22" s="3120"/>
      <c r="F22" s="3097"/>
      <c r="G22" s="3110"/>
      <c r="H22" s="3085"/>
      <c r="I22" s="3085"/>
      <c r="J22" s="3083"/>
      <c r="K22" s="3086"/>
      <c r="L22" s="3049"/>
      <c r="M22" s="3049"/>
      <c r="N22" s="3076"/>
      <c r="O22" s="3079"/>
      <c r="P22" s="3049"/>
      <c r="Q22" s="3049"/>
      <c r="R22" s="3080" t="s">
        <v>28</v>
      </c>
      <c r="S22" s="3048"/>
      <c r="T22" s="252"/>
      <c r="U22" s="253"/>
      <c r="V22" s="253" t="s">
        <v>180</v>
      </c>
      <c r="W22" s="254"/>
      <c r="X22" s="2049"/>
      <c r="Y22" s="1176"/>
      <c r="Z22" s="1176"/>
      <c r="AA22" s="1176"/>
      <c r="AB22" s="1176"/>
      <c r="AC22" s="1176"/>
      <c r="AD22" s="1176"/>
      <c r="AE22" s="1176"/>
      <c r="AF22" s="1176"/>
      <c r="AG22" s="1176"/>
      <c r="AH22" s="1176"/>
      <c r="AI22" s="1176"/>
      <c r="AJ22" s="1176"/>
      <c r="AK22" s="1176"/>
      <c r="AL22" s="2049"/>
      <c r="AM22" s="2049"/>
      <c r="AN22" s="2049"/>
      <c r="AO22" s="2049"/>
      <c r="AP22" s="2049"/>
      <c r="AQ22" s="2049"/>
      <c r="AR22" s="2049"/>
    </row>
    <row r="23" spans="1:44" ht="17.25" customHeight="1">
      <c r="A23" s="1754"/>
      <c r="B23" s="2049"/>
      <c r="C23" s="1759"/>
      <c r="D23" s="3085"/>
      <c r="E23" s="3120"/>
      <c r="F23" s="3097"/>
      <c r="G23" s="3110"/>
      <c r="H23" s="3085"/>
      <c r="I23" s="3085"/>
      <c r="J23" s="3083"/>
      <c r="K23" s="3086"/>
      <c r="L23" s="3075"/>
      <c r="M23" s="3075"/>
      <c r="N23" s="3077"/>
      <c r="O23" s="3053"/>
      <c r="P23" s="252"/>
      <c r="Q23" s="253"/>
      <c r="R23" s="253" t="s">
        <v>181</v>
      </c>
      <c r="S23" s="1760"/>
      <c r="T23" s="1760"/>
      <c r="U23" s="1760"/>
      <c r="V23" s="1760"/>
      <c r="W23" s="254"/>
      <c r="X23" s="2049"/>
      <c r="Y23" s="1176"/>
      <c r="Z23" s="1176"/>
      <c r="AA23" s="1176"/>
      <c r="AB23" s="1176"/>
      <c r="AC23" s="1176"/>
      <c r="AD23" s="1176"/>
      <c r="AE23" s="1176"/>
      <c r="AF23" s="1176"/>
      <c r="AG23" s="1176"/>
      <c r="AH23" s="1176"/>
      <c r="AI23" s="1176"/>
      <c r="AJ23" s="1176"/>
      <c r="AK23" s="1176"/>
      <c r="AL23" s="2049"/>
      <c r="AM23" s="2049"/>
      <c r="AN23" s="2049"/>
      <c r="AO23" s="2049"/>
      <c r="AP23" s="2049"/>
      <c r="AQ23" s="2049"/>
      <c r="AR23" s="2049"/>
    </row>
    <row r="24" spans="1:44" ht="17.25" customHeight="1">
      <c r="A24" s="1754"/>
      <c r="B24" s="2049"/>
      <c r="C24" s="1756"/>
      <c r="D24" s="3085"/>
      <c r="E24" s="3120"/>
      <c r="F24" s="3097"/>
      <c r="G24" s="3110"/>
      <c r="H24" s="3085"/>
      <c r="I24" s="3085"/>
      <c r="J24" s="3083"/>
      <c r="K24" s="3086"/>
      <c r="L24" s="3049" t="s">
        <v>105</v>
      </c>
      <c r="M24" s="3049" t="s">
        <v>91</v>
      </c>
      <c r="N24" s="3076" t="str">
        <f>IF(Z24="","",INDEX(TERRITORY_MR_LIST,MATCH(Z24,TERRITORY_LIST_ID,0)))</f>
        <v>Территория 3</v>
      </c>
      <c r="O24" s="3078" t="s">
        <v>19</v>
      </c>
      <c r="P24" s="3049"/>
      <c r="Q24" s="3049" t="s">
        <v>124</v>
      </c>
      <c r="R24" s="3080" t="s">
        <v>28</v>
      </c>
      <c r="S24" s="3048" t="s">
        <v>19</v>
      </c>
      <c r="T24" s="1727"/>
      <c r="U24" s="1727" t="s">
        <v>124</v>
      </c>
      <c r="V24" s="2050" t="s">
        <v>28</v>
      </c>
      <c r="W24" s="1717"/>
      <c r="X24" s="2049"/>
      <c r="Y24" s="1184"/>
      <c r="Z24" s="1184" t="s">
        <v>111</v>
      </c>
      <c r="AA24" s="1184"/>
      <c r="AB24" s="1184"/>
      <c r="AC24" s="2051" t="s">
        <v>175</v>
      </c>
      <c r="AD24" s="2051" t="s">
        <v>176</v>
      </c>
      <c r="AE24" s="1184" t="s">
        <v>185</v>
      </c>
      <c r="AF24" s="1184" t="s">
        <v>186</v>
      </c>
      <c r="AG24" s="1184" t="s">
        <v>187</v>
      </c>
      <c r="AH24" s="1184" t="str">
        <f>IF($E$18=0,"",$E$18)</f>
        <v>Тарифы на тепловую энергию (мощность), поставляемую теплоснабжающими организациями потребителям, другим теплоснабжающим организациям</v>
      </c>
      <c r="AI24" s="1184" t="str">
        <f>IF($G$18=0,"",$G$18)</f>
        <v>Производство тепловой энергии. Некомбинированная выработка; Производство. Теплоноситель; Передача. Тепловая энергия; Передача. Теплоноситель; Сбыт. Тепловая энергия; Сбыт. Теплоноситель</v>
      </c>
      <c r="AJ24" s="1184" t="str">
        <f>IF($J$18=0,"",$J$18)</f>
        <v/>
      </c>
      <c r="AK24" s="1184" t="str">
        <f>IF($K$24="нет","без дифференциации",IF($N$24=0,"",$N$24))</f>
        <v>Территория 3</v>
      </c>
      <c r="AL24" s="1758" t="str">
        <f>IF($O$24="нет","без дифференциации",IF($R$24=0,"",$R$24))</f>
        <v>без дифференциации</v>
      </c>
      <c r="AM24" s="1758" t="str">
        <f>IF($S$24="нет","без дифференциации",IF($V$24=0,"",$V$24))</f>
        <v>без дифференциации</v>
      </c>
      <c r="AN24" s="1184">
        <f>$I$18</f>
        <v>1</v>
      </c>
      <c r="AO24" s="1184" t="str">
        <f>$I$18&amp;"."&amp;$M$24</f>
        <v>1.3</v>
      </c>
      <c r="AP24" s="1184" t="str">
        <f>$I$18&amp;"."&amp;$M$24&amp;"."&amp;$Q$24</f>
        <v>1.3.1</v>
      </c>
      <c r="AQ24" s="1184" t="str">
        <f>$I$18&amp;"."&amp;$M$24&amp;"."&amp;$Q$24&amp;"."&amp;$U$24</f>
        <v>1.3.1.1</v>
      </c>
      <c r="AR24" s="2049"/>
    </row>
    <row r="25" spans="1:44" ht="17.25" customHeight="1">
      <c r="A25" s="1754"/>
      <c r="B25" s="2049"/>
      <c r="C25" s="1759"/>
      <c r="D25" s="3085"/>
      <c r="E25" s="3120"/>
      <c r="F25" s="3097"/>
      <c r="G25" s="3110"/>
      <c r="H25" s="3085"/>
      <c r="I25" s="3085"/>
      <c r="J25" s="3083"/>
      <c r="K25" s="3086"/>
      <c r="L25" s="3049"/>
      <c r="M25" s="3049"/>
      <c r="N25" s="3076"/>
      <c r="O25" s="3079"/>
      <c r="P25" s="3049"/>
      <c r="Q25" s="3049"/>
      <c r="R25" s="3080" t="s">
        <v>28</v>
      </c>
      <c r="S25" s="3048"/>
      <c r="T25" s="252"/>
      <c r="U25" s="253"/>
      <c r="V25" s="253" t="s">
        <v>180</v>
      </c>
      <c r="W25" s="254"/>
      <c r="X25" s="2049"/>
      <c r="Y25" s="1176"/>
      <c r="Z25" s="1176"/>
      <c r="AA25" s="1176"/>
      <c r="AB25" s="1176"/>
      <c r="AC25" s="1176"/>
      <c r="AD25" s="1176"/>
      <c r="AE25" s="1176"/>
      <c r="AF25" s="1176"/>
      <c r="AG25" s="1176"/>
      <c r="AH25" s="1176"/>
      <c r="AI25" s="1176"/>
      <c r="AJ25" s="1176"/>
      <c r="AK25" s="1176"/>
      <c r="AL25" s="2049"/>
      <c r="AM25" s="2049"/>
      <c r="AN25" s="2049"/>
      <c r="AO25" s="2049"/>
      <c r="AP25" s="2049"/>
      <c r="AQ25" s="2049"/>
      <c r="AR25" s="2049"/>
    </row>
    <row r="26" spans="1:44" ht="17.25" customHeight="1">
      <c r="A26" s="1754"/>
      <c r="B26" s="2049"/>
      <c r="C26" s="1759"/>
      <c r="D26" s="3085"/>
      <c r="E26" s="3120"/>
      <c r="F26" s="3097"/>
      <c r="G26" s="3110"/>
      <c r="H26" s="3085"/>
      <c r="I26" s="3085"/>
      <c r="J26" s="3083"/>
      <c r="K26" s="3086"/>
      <c r="L26" s="3075"/>
      <c r="M26" s="3075"/>
      <c r="N26" s="3077"/>
      <c r="O26" s="3053"/>
      <c r="P26" s="252"/>
      <c r="Q26" s="253"/>
      <c r="R26" s="253" t="s">
        <v>181</v>
      </c>
      <c r="S26" s="1760"/>
      <c r="T26" s="1760"/>
      <c r="U26" s="1760"/>
      <c r="V26" s="1760"/>
      <c r="W26" s="254"/>
      <c r="X26" s="2049"/>
      <c r="Y26" s="1176"/>
      <c r="Z26" s="1176"/>
      <c r="AA26" s="1176"/>
      <c r="AB26" s="1176"/>
      <c r="AC26" s="1176"/>
      <c r="AD26" s="1176"/>
      <c r="AE26" s="1176"/>
      <c r="AF26" s="1176"/>
      <c r="AG26" s="1176"/>
      <c r="AH26" s="1176"/>
      <c r="AI26" s="1176"/>
      <c r="AJ26" s="1176"/>
      <c r="AK26" s="1176"/>
      <c r="AL26" s="2049"/>
      <c r="AM26" s="2049"/>
      <c r="AN26" s="2049"/>
      <c r="AO26" s="2049"/>
      <c r="AP26" s="2049"/>
      <c r="AQ26" s="2049"/>
      <c r="AR26" s="2049"/>
    </row>
    <row r="27" spans="1:44" s="2028" customFormat="1" ht="17.25" customHeight="1">
      <c r="A27" s="256"/>
      <c r="C27" s="255"/>
      <c r="D27" s="3075"/>
      <c r="E27" s="3119"/>
      <c r="F27" s="3097"/>
      <c r="G27" s="3109"/>
      <c r="H27" s="3075"/>
      <c r="I27" s="3075"/>
      <c r="J27" s="3082"/>
      <c r="K27" s="3053"/>
      <c r="L27" s="2052"/>
      <c r="M27" s="2053"/>
      <c r="N27" s="2054" t="s">
        <v>188</v>
      </c>
      <c r="O27" s="2055"/>
      <c r="P27" s="2056"/>
      <c r="Q27" s="2057"/>
      <c r="R27" s="2058"/>
      <c r="S27" s="2059"/>
      <c r="T27" s="2060"/>
      <c r="U27" s="2061"/>
      <c r="V27" s="2062"/>
      <c r="W27" s="2063"/>
      <c r="X27" s="1176"/>
      <c r="Y27" s="1176"/>
      <c r="Z27" s="1176"/>
      <c r="AA27" s="1176"/>
      <c r="AB27" s="1176"/>
      <c r="AC27" s="1176"/>
      <c r="AD27" s="1176"/>
      <c r="AE27" s="1176"/>
      <c r="AF27" s="1176"/>
      <c r="AG27" s="1176"/>
      <c r="AH27" s="1176"/>
      <c r="AI27" s="1176"/>
      <c r="AJ27" s="1176"/>
      <c r="AK27" s="1176"/>
      <c r="AL27" s="1176"/>
      <c r="AM27" s="1176"/>
      <c r="AN27" s="1176"/>
      <c r="AO27" s="1176"/>
      <c r="AP27" s="1176"/>
      <c r="AQ27" s="1176"/>
      <c r="AR27" s="1200">
        <v>0</v>
      </c>
    </row>
    <row r="28" spans="1:44" s="2028" customFormat="1" ht="17.25" customHeight="1">
      <c r="A28" s="256"/>
      <c r="C28" s="255"/>
      <c r="D28" s="3075"/>
      <c r="E28" s="3119"/>
      <c r="F28" s="3098"/>
      <c r="G28" s="3109"/>
      <c r="H28" s="2064"/>
      <c r="I28" s="2065"/>
      <c r="J28" s="2066" t="s">
        <v>189</v>
      </c>
      <c r="K28" s="2067"/>
      <c r="L28" s="2068"/>
      <c r="M28" s="2069"/>
      <c r="N28" s="2070"/>
      <c r="O28" s="2071"/>
      <c r="P28" s="2072"/>
      <c r="Q28" s="2073"/>
      <c r="R28" s="2074"/>
      <c r="S28" s="2075"/>
      <c r="T28" s="2076"/>
      <c r="U28" s="2077"/>
      <c r="V28" s="2078"/>
      <c r="W28" s="2079"/>
      <c r="X28" s="1176"/>
      <c r="Y28" s="1176"/>
      <c r="Z28" s="1176"/>
      <c r="AA28" s="1176"/>
      <c r="AB28" s="1176"/>
      <c r="AC28" s="1176"/>
      <c r="AD28" s="1176"/>
      <c r="AE28" s="1176"/>
      <c r="AF28" s="1176"/>
      <c r="AG28" s="1176"/>
      <c r="AH28" s="1176"/>
      <c r="AI28" s="1176"/>
      <c r="AJ28" s="1176"/>
      <c r="AK28" s="1176"/>
      <c r="AL28" s="1176"/>
      <c r="AM28" s="1176"/>
      <c r="AN28" s="1176"/>
      <c r="AO28" s="1176"/>
      <c r="AP28" s="1176"/>
      <c r="AQ28" s="1176"/>
      <c r="AR28" s="1200">
        <v>0</v>
      </c>
    </row>
    <row r="29" spans="1:44" s="2028" customFormat="1" ht="17.25" hidden="1" customHeight="1">
      <c r="A29" s="256"/>
      <c r="C29" s="144"/>
      <c r="D29" s="3087">
        <v>2</v>
      </c>
      <c r="E29" s="3094" t="s">
        <v>173</v>
      </c>
      <c r="F29" s="3096" t="s">
        <v>19</v>
      </c>
      <c r="G29" s="3094"/>
      <c r="H29" s="3099"/>
      <c r="I29" s="3101"/>
      <c r="J29" s="3103"/>
      <c r="K29" s="3088"/>
      <c r="L29" s="3088"/>
      <c r="M29" s="3088"/>
      <c r="N29" s="3090"/>
      <c r="O29" s="3088"/>
      <c r="P29" s="3088"/>
      <c r="Q29" s="3088"/>
      <c r="R29" s="3093"/>
      <c r="S29" s="3088"/>
      <c r="T29" s="1909"/>
      <c r="U29" s="1909"/>
      <c r="V29" s="1911"/>
      <c r="W29" s="1213"/>
      <c r="X29" s="1184"/>
      <c r="Y29" s="1184"/>
      <c r="Z29" s="1184" t="s">
        <v>28</v>
      </c>
      <c r="AA29" s="1184" t="s">
        <v>28</v>
      </c>
      <c r="AB29" s="1184" t="s">
        <v>28</v>
      </c>
      <c r="AC29" s="1184" t="s">
        <v>28</v>
      </c>
      <c r="AD29" s="1184" t="s">
        <v>28</v>
      </c>
      <c r="AE29" s="1184" t="s">
        <v>28</v>
      </c>
      <c r="AF29" s="1184" t="s">
        <v>28</v>
      </c>
      <c r="AG29" s="1184" t="s">
        <v>28</v>
      </c>
      <c r="AH29" s="1184" t="s">
        <v>28</v>
      </c>
      <c r="AI29" s="1184" t="s">
        <v>28</v>
      </c>
      <c r="AJ29" s="1184" t="s">
        <v>28</v>
      </c>
      <c r="AK29" s="1184" t="s">
        <v>28</v>
      </c>
      <c r="AL29" s="1184" t="s">
        <v>28</v>
      </c>
      <c r="AM29" s="1184" t="s">
        <v>28</v>
      </c>
      <c r="AN29" s="1688" t="s">
        <v>28</v>
      </c>
      <c r="AO29" s="1184" t="s">
        <v>28</v>
      </c>
      <c r="AP29" s="1183" t="s">
        <v>28</v>
      </c>
      <c r="AQ29" s="1183" t="s">
        <v>28</v>
      </c>
      <c r="AR29" s="1384">
        <v>0</v>
      </c>
    </row>
    <row r="30" spans="1:44" s="2028" customFormat="1" ht="17.25" hidden="1" customHeight="1">
      <c r="A30" s="256"/>
      <c r="C30" s="255"/>
      <c r="D30" s="3087"/>
      <c r="E30" s="3094"/>
      <c r="F30" s="3097"/>
      <c r="G30" s="3094"/>
      <c r="H30" s="3100"/>
      <c r="I30" s="3102"/>
      <c r="J30" s="3104"/>
      <c r="K30" s="3089"/>
      <c r="L30" s="3089"/>
      <c r="M30" s="3089"/>
      <c r="N30" s="3091"/>
      <c r="O30" s="3089"/>
      <c r="P30" s="3089"/>
      <c r="Q30" s="3089"/>
      <c r="R30" s="3092"/>
      <c r="S30" s="3089"/>
      <c r="T30" s="1914"/>
      <c r="U30" s="1914"/>
      <c r="V30" s="1914"/>
      <c r="W30" s="1915"/>
      <c r="X30" s="1183"/>
      <c r="Y30" s="1183"/>
      <c r="Z30" s="1183"/>
      <c r="AA30" s="1183"/>
      <c r="AB30" s="1183"/>
      <c r="AC30" s="1183"/>
      <c r="AD30" s="1183"/>
      <c r="AE30" s="1183"/>
      <c r="AF30" s="1183"/>
      <c r="AG30" s="1183"/>
      <c r="AH30" s="1183"/>
      <c r="AI30" s="1183"/>
      <c r="AJ30" s="1183"/>
      <c r="AK30" s="1183"/>
      <c r="AL30" s="1183"/>
      <c r="AM30" s="1183"/>
      <c r="AN30" s="1183"/>
      <c r="AO30" s="1183"/>
      <c r="AP30" s="1183"/>
      <c r="AQ30" s="1183"/>
      <c r="AR30" s="1384">
        <v>0</v>
      </c>
    </row>
    <row r="31" spans="1:44" s="2028" customFormat="1" ht="17.25" hidden="1" customHeight="1">
      <c r="A31" s="256"/>
      <c r="C31" s="255"/>
      <c r="D31" s="3075"/>
      <c r="E31" s="3095"/>
      <c r="F31" s="3097"/>
      <c r="G31" s="3095"/>
      <c r="H31" s="3100"/>
      <c r="I31" s="3102"/>
      <c r="J31" s="3105"/>
      <c r="K31" s="3089"/>
      <c r="L31" s="3089"/>
      <c r="M31" s="3089"/>
      <c r="N31" s="3092"/>
      <c r="O31" s="3089"/>
      <c r="P31" s="1910"/>
      <c r="Q31" s="1914"/>
      <c r="R31" s="1914"/>
      <c r="S31" s="264"/>
      <c r="T31" s="264"/>
      <c r="U31" s="264"/>
      <c r="V31" s="264"/>
      <c r="W31" s="1915"/>
      <c r="X31" s="1183"/>
      <c r="Y31" s="1183"/>
      <c r="Z31" s="1183"/>
      <c r="AA31" s="1183"/>
      <c r="AB31" s="1183"/>
      <c r="AC31" s="1183"/>
      <c r="AD31" s="1183"/>
      <c r="AE31" s="1183"/>
      <c r="AF31" s="1183"/>
      <c r="AG31" s="1183"/>
      <c r="AH31" s="1183"/>
      <c r="AI31" s="1183"/>
      <c r="AJ31" s="1183"/>
      <c r="AK31" s="1183"/>
      <c r="AL31" s="1183"/>
      <c r="AM31" s="1183"/>
      <c r="AN31" s="1183"/>
      <c r="AO31" s="1183"/>
      <c r="AP31" s="1183"/>
      <c r="AQ31" s="1183"/>
      <c r="AR31" s="1384">
        <v>0</v>
      </c>
    </row>
    <row r="32" spans="1:44" s="2028" customFormat="1" ht="17.25" hidden="1" customHeight="1">
      <c r="A32" s="256"/>
      <c r="C32" s="255"/>
      <c r="D32" s="3075"/>
      <c r="E32" s="3095"/>
      <c r="F32" s="3097"/>
      <c r="G32" s="3095"/>
      <c r="H32" s="3100"/>
      <c r="I32" s="3102"/>
      <c r="J32" s="3105"/>
      <c r="K32" s="3089"/>
      <c r="L32" s="1914"/>
      <c r="M32" s="1914"/>
      <c r="N32" s="1914"/>
      <c r="O32" s="1914"/>
      <c r="P32" s="1914"/>
      <c r="Q32" s="1914"/>
      <c r="R32" s="1914"/>
      <c r="S32" s="264"/>
      <c r="T32" s="264"/>
      <c r="U32" s="264"/>
      <c r="V32" s="264"/>
      <c r="W32" s="1915"/>
      <c r="X32" s="1183"/>
      <c r="Y32" s="1183"/>
      <c r="Z32" s="1183"/>
      <c r="AA32" s="1183"/>
      <c r="AB32" s="1183"/>
      <c r="AC32" s="1183"/>
      <c r="AD32" s="1183"/>
      <c r="AE32" s="1183"/>
      <c r="AF32" s="1183"/>
      <c r="AG32" s="1183"/>
      <c r="AH32" s="1183"/>
      <c r="AI32" s="1183"/>
      <c r="AJ32" s="1183"/>
      <c r="AK32" s="1183"/>
      <c r="AL32" s="1183"/>
      <c r="AM32" s="1183"/>
      <c r="AN32" s="1183"/>
      <c r="AO32" s="1183"/>
      <c r="AP32" s="1183"/>
      <c r="AQ32" s="1183"/>
      <c r="AR32" s="1384">
        <v>0</v>
      </c>
    </row>
    <row r="33" spans="1:44" s="2028" customFormat="1" ht="17.25" hidden="1" customHeight="1">
      <c r="A33" s="256"/>
      <c r="C33" s="255"/>
      <c r="D33" s="3075"/>
      <c r="E33" s="3095"/>
      <c r="F33" s="3098"/>
      <c r="G33" s="3095"/>
      <c r="H33" s="1216"/>
      <c r="I33" s="1912"/>
      <c r="J33" s="1912"/>
      <c r="K33" s="1912"/>
      <c r="L33" s="1912"/>
      <c r="M33" s="1912"/>
      <c r="N33" s="1912"/>
      <c r="O33" s="1912"/>
      <c r="P33" s="1912"/>
      <c r="Q33" s="1912"/>
      <c r="R33" s="1912"/>
      <c r="S33" s="1218"/>
      <c r="T33" s="1218"/>
      <c r="U33" s="1218"/>
      <c r="V33" s="1218"/>
      <c r="W33" s="1913"/>
      <c r="X33" s="1183"/>
      <c r="Y33" s="1183"/>
      <c r="Z33" s="1183"/>
      <c r="AA33" s="1183"/>
      <c r="AB33" s="1183"/>
      <c r="AC33" s="1183"/>
      <c r="AD33" s="1183"/>
      <c r="AE33" s="1183"/>
      <c r="AF33" s="1183"/>
      <c r="AG33" s="1183"/>
      <c r="AH33" s="1183"/>
      <c r="AI33" s="1183"/>
      <c r="AJ33" s="1183"/>
      <c r="AK33" s="1183"/>
      <c r="AL33" s="1183"/>
      <c r="AM33" s="1183"/>
      <c r="AN33" s="1183"/>
      <c r="AO33" s="1183"/>
      <c r="AP33" s="1183"/>
      <c r="AQ33" s="1183"/>
      <c r="AR33" s="1384">
        <v>0</v>
      </c>
    </row>
    <row r="34" spans="1:44" s="2028" customFormat="1" ht="17.25" customHeight="1">
      <c r="A34" s="256"/>
      <c r="C34" s="144"/>
      <c r="D34" s="3087">
        <v>3</v>
      </c>
      <c r="E34" s="3094" t="s">
        <v>190</v>
      </c>
      <c r="F34" s="3096" t="s">
        <v>67</v>
      </c>
      <c r="G34" s="3108" t="str">
        <f>INDEX(VD_NAME_LIST,MATCH("4190064",VD_ID_LIST,0))&amp;"; "&amp;INDEX(VD_NAME_LIST,MATCH("4190067",VD_ID_LIST,0))&amp;"; "&amp;INDEX(VD_NAME_LIST,MATCH("4190068",VD_ID_LIST,0))&amp;"; "&amp;INDEX(VD_NAME_LIST,MATCH("4190069",VD_ID_LIST,0))&amp;"; "&amp;INDEX(VD_NAME_LIST,MATCH("4190070",VD_ID_LIST,0))&amp;"; "&amp;INDEX(VD_NAME_LIST,MATCH("4190071",VD_ID_LIST,0))</f>
        <v>Производство тепловой энергии. Некомбинированная выработка; Производство. Теплоноситель; Передача. Тепловая энергия; Передача. Теплоноситель; Сбыт. Тепловая энергия; Сбыт. Теплоноситель</v>
      </c>
      <c r="H34" s="3084"/>
      <c r="I34" s="3084">
        <v>1</v>
      </c>
      <c r="J34" s="3081"/>
      <c r="K34" s="3078" t="s">
        <v>67</v>
      </c>
      <c r="L34" s="3049"/>
      <c r="M34" s="3049" t="s">
        <v>124</v>
      </c>
      <c r="N34" s="3076" t="str">
        <f>IF(Z34="","",INDEX(TERRITORY_MR_LIST,MATCH(Z34,TERRITORY_LIST_ID,0)))</f>
        <v>Территория 1</v>
      </c>
      <c r="O34" s="3078" t="s">
        <v>19</v>
      </c>
      <c r="P34" s="3049"/>
      <c r="Q34" s="3049" t="s">
        <v>124</v>
      </c>
      <c r="R34" s="3080" t="s">
        <v>28</v>
      </c>
      <c r="S34" s="3048" t="s">
        <v>19</v>
      </c>
      <c r="T34" s="2034"/>
      <c r="U34" s="2034" t="s">
        <v>124</v>
      </c>
      <c r="V34" s="2035" t="s">
        <v>28</v>
      </c>
      <c r="W34" s="2033"/>
      <c r="X34" s="1184"/>
      <c r="Y34" s="1184"/>
      <c r="Z34" s="1184" t="s">
        <v>99</v>
      </c>
      <c r="AA34" s="1184"/>
      <c r="AB34" s="1184" t="s">
        <v>174</v>
      </c>
      <c r="AC34" s="1184" t="s">
        <v>191</v>
      </c>
      <c r="AD34" s="1184" t="s">
        <v>192</v>
      </c>
      <c r="AE34" s="1184" t="s">
        <v>193</v>
      </c>
      <c r="AF34" s="1184" t="s">
        <v>194</v>
      </c>
      <c r="AG34" s="1184" t="s">
        <v>195</v>
      </c>
      <c r="AH34" s="1184" t="str">
        <f>IF($E$34=0,"",$E$34)</f>
        <v>Тарифы на теплоноситель, поставляемый теплоснабжающими организациями потребителям, другим теплоснабжающим организациям</v>
      </c>
      <c r="AI34" s="1184" t="str">
        <f>IF($G$34=0,"",$G$34)</f>
        <v>Производство тепловой энергии. Некомбинированная выработка; Производство. Теплоноситель; Передача. Тепловая энергия; Передача. Теплоноситель; Сбыт. Тепловая энергия; Сбыт. Теплоноситель</v>
      </c>
      <c r="AJ34" s="1184" t="str">
        <f>IF($J$34=0,"",$J$34)</f>
        <v/>
      </c>
      <c r="AK34" s="1184" t="str">
        <f>IF($K$34="нет","без дифференциации",IF($N$34=0,"",$N$34))</f>
        <v>Территория 1</v>
      </c>
      <c r="AL34" s="1184" t="str">
        <f>IF($O$34="нет","без дифференциации",IF($R$34=0,"",$R$34))</f>
        <v>без дифференциации</v>
      </c>
      <c r="AM34" s="1184" t="str">
        <f>IF($S$34="нет","без дифференциации",IF($V$34=0,"",$V$34))</f>
        <v>без дифференциации</v>
      </c>
      <c r="AN34" s="1688">
        <f>$I$34</f>
        <v>1</v>
      </c>
      <c r="AO34" s="1184" t="str">
        <f>$I$34&amp;"."&amp;$M$34</f>
        <v>1.1</v>
      </c>
      <c r="AP34" s="1176" t="str">
        <f>$I$34&amp;"."&amp;$M$34&amp;"."&amp;$Q$34</f>
        <v>1.1.1</v>
      </c>
      <c r="AQ34" s="1176" t="str">
        <f>$I$34&amp;"."&amp;$M$34&amp;"."&amp;$Q$34&amp;"."&amp;$U$34</f>
        <v>1.1.1.1</v>
      </c>
      <c r="AR34" s="1200">
        <v>0</v>
      </c>
    </row>
    <row r="35" spans="1:44" s="2028" customFormat="1" ht="17.25" customHeight="1">
      <c r="A35" s="256"/>
      <c r="C35" s="255"/>
      <c r="D35" s="3087"/>
      <c r="E35" s="3094"/>
      <c r="F35" s="3097"/>
      <c r="G35" s="3108"/>
      <c r="H35" s="3084"/>
      <c r="I35" s="3084"/>
      <c r="J35" s="3081"/>
      <c r="K35" s="3079"/>
      <c r="L35" s="3049"/>
      <c r="M35" s="3049"/>
      <c r="N35" s="3076"/>
      <c r="O35" s="3079"/>
      <c r="P35" s="3049"/>
      <c r="Q35" s="3049"/>
      <c r="R35" s="3080" t="s">
        <v>28</v>
      </c>
      <c r="S35" s="3048"/>
      <c r="T35" s="2080"/>
      <c r="U35" s="2081"/>
      <c r="V35" s="2082" t="s">
        <v>180</v>
      </c>
      <c r="W35" s="2083"/>
      <c r="X35" s="1176"/>
      <c r="Y35" s="1176"/>
      <c r="Z35" s="1176"/>
      <c r="AA35" s="1176"/>
      <c r="AB35" s="1176"/>
      <c r="AC35" s="1176"/>
      <c r="AD35" s="1176"/>
      <c r="AE35" s="1176"/>
      <c r="AF35" s="1176"/>
      <c r="AG35" s="1176"/>
      <c r="AH35" s="1176"/>
      <c r="AI35" s="1176"/>
      <c r="AJ35" s="1176"/>
      <c r="AK35" s="1176"/>
      <c r="AL35" s="1176"/>
      <c r="AM35" s="1176"/>
      <c r="AN35" s="1176"/>
      <c r="AO35" s="1176"/>
      <c r="AP35" s="1176"/>
      <c r="AQ35" s="1176"/>
      <c r="AR35" s="1200">
        <v>0</v>
      </c>
    </row>
    <row r="36" spans="1:44" s="2028" customFormat="1" ht="17.25" customHeight="1">
      <c r="A36" s="256"/>
      <c r="C36" s="255"/>
      <c r="D36" s="3075"/>
      <c r="E36" s="3095"/>
      <c r="F36" s="3097"/>
      <c r="G36" s="3109"/>
      <c r="H36" s="3075"/>
      <c r="I36" s="3075"/>
      <c r="J36" s="3082"/>
      <c r="K36" s="3079"/>
      <c r="L36" s="3075"/>
      <c r="M36" s="3075"/>
      <c r="N36" s="3077"/>
      <c r="O36" s="3053"/>
      <c r="P36" s="2084"/>
      <c r="Q36" s="2085"/>
      <c r="R36" s="2086" t="s">
        <v>181</v>
      </c>
      <c r="S36" s="2087"/>
      <c r="T36" s="2088"/>
      <c r="U36" s="2089"/>
      <c r="V36" s="2090"/>
      <c r="W36" s="2091"/>
      <c r="X36" s="1176"/>
      <c r="Y36" s="1176"/>
      <c r="Z36" s="1176"/>
      <c r="AA36" s="1176"/>
      <c r="AB36" s="1176"/>
      <c r="AC36" s="1176"/>
      <c r="AD36" s="1176"/>
      <c r="AE36" s="1176"/>
      <c r="AF36" s="1176"/>
      <c r="AG36" s="1176"/>
      <c r="AH36" s="1176"/>
      <c r="AI36" s="1176"/>
      <c r="AJ36" s="1176"/>
      <c r="AK36" s="1176"/>
      <c r="AL36" s="1176"/>
      <c r="AM36" s="1176"/>
      <c r="AN36" s="1176"/>
      <c r="AO36" s="1176"/>
      <c r="AP36" s="1176"/>
      <c r="AQ36" s="1176"/>
      <c r="AR36" s="1200">
        <v>0</v>
      </c>
    </row>
    <row r="37" spans="1:44" ht="17.25" customHeight="1">
      <c r="A37" s="1754"/>
      <c r="B37" s="2049"/>
      <c r="C37" s="1756"/>
      <c r="D37" s="3085"/>
      <c r="E37" s="3120"/>
      <c r="F37" s="3097"/>
      <c r="G37" s="3110"/>
      <c r="H37" s="3085"/>
      <c r="I37" s="3085"/>
      <c r="J37" s="3083"/>
      <c r="K37" s="3086"/>
      <c r="L37" s="3049" t="s">
        <v>105</v>
      </c>
      <c r="M37" s="3049" t="s">
        <v>104</v>
      </c>
      <c r="N37" s="3076" t="str">
        <f>IF(Z37="","",INDEX(TERRITORY_MR_LIST,MATCH(Z37,TERRITORY_LIST_ID,0)))</f>
        <v>Территория 2</v>
      </c>
      <c r="O37" s="3078" t="s">
        <v>19</v>
      </c>
      <c r="P37" s="3049"/>
      <c r="Q37" s="3049" t="s">
        <v>124</v>
      </c>
      <c r="R37" s="3080" t="s">
        <v>28</v>
      </c>
      <c r="S37" s="3048" t="s">
        <v>19</v>
      </c>
      <c r="T37" s="1727"/>
      <c r="U37" s="1727" t="s">
        <v>124</v>
      </c>
      <c r="V37" s="2050" t="s">
        <v>28</v>
      </c>
      <c r="W37" s="1717"/>
      <c r="X37" s="2049"/>
      <c r="Y37" s="1184"/>
      <c r="Z37" s="1184" t="s">
        <v>106</v>
      </c>
      <c r="AA37" s="1184"/>
      <c r="AB37" s="1184"/>
      <c r="AC37" s="2051" t="s">
        <v>191</v>
      </c>
      <c r="AD37" s="2051" t="s">
        <v>192</v>
      </c>
      <c r="AE37" s="1184" t="s">
        <v>196</v>
      </c>
      <c r="AF37" s="1184" t="s">
        <v>197</v>
      </c>
      <c r="AG37" s="1184" t="s">
        <v>198</v>
      </c>
      <c r="AH37" s="1184" t="str">
        <f>IF($E$34=0,"",$E$34)</f>
        <v>Тарифы на теплоноситель, поставляемый теплоснабжающими организациями потребителям, другим теплоснабжающим организациям</v>
      </c>
      <c r="AI37" s="1184" t="str">
        <f>IF($G$34=0,"",$G$34)</f>
        <v>Производство тепловой энергии. Некомбинированная выработка; Производство. Теплоноситель; Передача. Тепловая энергия; Передача. Теплоноситель; Сбыт. Тепловая энергия; Сбыт. Теплоноситель</v>
      </c>
      <c r="AJ37" s="1184" t="str">
        <f>IF($J$34=0,"",$J$34)</f>
        <v/>
      </c>
      <c r="AK37" s="1184" t="str">
        <f>IF($K$37="нет","без дифференциации",IF($N$37=0,"",$N$37))</f>
        <v>Территория 2</v>
      </c>
      <c r="AL37" s="1758" t="str">
        <f>IF($O$37="нет","без дифференциации",IF($R$37=0,"",$R$37))</f>
        <v>без дифференциации</v>
      </c>
      <c r="AM37" s="1758" t="str">
        <f>IF($S$37="нет","без дифференциации",IF($V$37=0,"",$V$37))</f>
        <v>без дифференциации</v>
      </c>
      <c r="AN37" s="1184">
        <f>$I$34</f>
        <v>1</v>
      </c>
      <c r="AO37" s="1184" t="str">
        <f>$I$34&amp;"."&amp;$M$37</f>
        <v>1.2</v>
      </c>
      <c r="AP37" s="1184" t="str">
        <f>$I$34&amp;"."&amp;$M$37&amp;"."&amp;$Q$37</f>
        <v>1.2.1</v>
      </c>
      <c r="AQ37" s="1184" t="str">
        <f>$I$34&amp;"."&amp;$M$37&amp;"."&amp;$Q$37&amp;"."&amp;$U$37</f>
        <v>1.2.1.1</v>
      </c>
      <c r="AR37" s="2049"/>
    </row>
    <row r="38" spans="1:44" ht="17.25" customHeight="1">
      <c r="A38" s="1754"/>
      <c r="B38" s="2049"/>
      <c r="C38" s="1759"/>
      <c r="D38" s="3085"/>
      <c r="E38" s="3120"/>
      <c r="F38" s="3097"/>
      <c r="G38" s="3110"/>
      <c r="H38" s="3085"/>
      <c r="I38" s="3085"/>
      <c r="J38" s="3083"/>
      <c r="K38" s="3086"/>
      <c r="L38" s="3049"/>
      <c r="M38" s="3049"/>
      <c r="N38" s="3076"/>
      <c r="O38" s="3079"/>
      <c r="P38" s="3049"/>
      <c r="Q38" s="3049"/>
      <c r="R38" s="3080" t="s">
        <v>28</v>
      </c>
      <c r="S38" s="3048"/>
      <c r="T38" s="252"/>
      <c r="U38" s="253"/>
      <c r="V38" s="253" t="s">
        <v>180</v>
      </c>
      <c r="W38" s="254"/>
      <c r="X38" s="2049"/>
      <c r="Y38" s="1176"/>
      <c r="Z38" s="1176"/>
      <c r="AA38" s="1176"/>
      <c r="AB38" s="1176"/>
      <c r="AC38" s="1176"/>
      <c r="AD38" s="1176"/>
      <c r="AE38" s="1176"/>
      <c r="AF38" s="1176"/>
      <c r="AG38" s="1176"/>
      <c r="AH38" s="1176"/>
      <c r="AI38" s="1176"/>
      <c r="AJ38" s="1176"/>
      <c r="AK38" s="1176"/>
      <c r="AL38" s="2049"/>
      <c r="AM38" s="2049"/>
      <c r="AN38" s="2049"/>
      <c r="AO38" s="2049"/>
      <c r="AP38" s="2049"/>
      <c r="AQ38" s="2049"/>
      <c r="AR38" s="2049"/>
    </row>
    <row r="39" spans="1:44" ht="17.25" customHeight="1">
      <c r="A39" s="1754"/>
      <c r="B39" s="2049"/>
      <c r="C39" s="1759"/>
      <c r="D39" s="3085"/>
      <c r="E39" s="3120"/>
      <c r="F39" s="3097"/>
      <c r="G39" s="3110"/>
      <c r="H39" s="3085"/>
      <c r="I39" s="3085"/>
      <c r="J39" s="3083"/>
      <c r="K39" s="3086"/>
      <c r="L39" s="3075"/>
      <c r="M39" s="3075"/>
      <c r="N39" s="3077"/>
      <c r="O39" s="3053"/>
      <c r="P39" s="252"/>
      <c r="Q39" s="253"/>
      <c r="R39" s="253" t="s">
        <v>181</v>
      </c>
      <c r="S39" s="1760"/>
      <c r="T39" s="1760"/>
      <c r="U39" s="1760"/>
      <c r="V39" s="1760"/>
      <c r="W39" s="254"/>
      <c r="X39" s="2049"/>
      <c r="Y39" s="1176"/>
      <c r="Z39" s="1176"/>
      <c r="AA39" s="1176"/>
      <c r="AB39" s="1176"/>
      <c r="AC39" s="1176"/>
      <c r="AD39" s="1176"/>
      <c r="AE39" s="1176"/>
      <c r="AF39" s="1176"/>
      <c r="AG39" s="1176"/>
      <c r="AH39" s="1176"/>
      <c r="AI39" s="1176"/>
      <c r="AJ39" s="1176"/>
      <c r="AK39" s="1176"/>
      <c r="AL39" s="2049"/>
      <c r="AM39" s="2049"/>
      <c r="AN39" s="2049"/>
      <c r="AO39" s="2049"/>
      <c r="AP39" s="2049"/>
      <c r="AQ39" s="2049"/>
      <c r="AR39" s="2049"/>
    </row>
    <row r="40" spans="1:44" ht="17.25" customHeight="1">
      <c r="A40" s="1754"/>
      <c r="B40" s="2049"/>
      <c r="C40" s="1756"/>
      <c r="D40" s="3085"/>
      <c r="E40" s="3120"/>
      <c r="F40" s="3097"/>
      <c r="G40" s="3110"/>
      <c r="H40" s="3085"/>
      <c r="I40" s="3085"/>
      <c r="J40" s="3083"/>
      <c r="K40" s="3086"/>
      <c r="L40" s="3049" t="s">
        <v>105</v>
      </c>
      <c r="M40" s="3049" t="s">
        <v>91</v>
      </c>
      <c r="N40" s="3076" t="str">
        <f>IF(Z40="","",INDEX(TERRITORY_MR_LIST,MATCH(Z40,TERRITORY_LIST_ID,0)))</f>
        <v>Территория 3</v>
      </c>
      <c r="O40" s="3078" t="s">
        <v>19</v>
      </c>
      <c r="P40" s="3049"/>
      <c r="Q40" s="3049" t="s">
        <v>124</v>
      </c>
      <c r="R40" s="3080" t="s">
        <v>28</v>
      </c>
      <c r="S40" s="3048" t="s">
        <v>19</v>
      </c>
      <c r="T40" s="1727"/>
      <c r="U40" s="1727" t="s">
        <v>124</v>
      </c>
      <c r="V40" s="2050" t="s">
        <v>28</v>
      </c>
      <c r="W40" s="1717"/>
      <c r="X40" s="2049"/>
      <c r="Y40" s="1184"/>
      <c r="Z40" s="1184" t="s">
        <v>111</v>
      </c>
      <c r="AA40" s="1184"/>
      <c r="AB40" s="1184"/>
      <c r="AC40" s="2051" t="s">
        <v>191</v>
      </c>
      <c r="AD40" s="2051" t="s">
        <v>192</v>
      </c>
      <c r="AE40" s="1184" t="s">
        <v>199</v>
      </c>
      <c r="AF40" s="1184" t="s">
        <v>200</v>
      </c>
      <c r="AG40" s="1184" t="s">
        <v>201</v>
      </c>
      <c r="AH40" s="1184" t="str">
        <f>IF($E$34=0,"",$E$34)</f>
        <v>Тарифы на теплоноситель, поставляемый теплоснабжающими организациями потребителям, другим теплоснабжающим организациям</v>
      </c>
      <c r="AI40" s="1184" t="str">
        <f>IF($G$34=0,"",$G$34)</f>
        <v>Производство тепловой энергии. Некомбинированная выработка; Производство. Теплоноситель; Передача. Тепловая энергия; Передача. Теплоноситель; Сбыт. Тепловая энергия; Сбыт. Теплоноситель</v>
      </c>
      <c r="AJ40" s="1184" t="str">
        <f>IF($J$34=0,"",$J$34)</f>
        <v/>
      </c>
      <c r="AK40" s="1184" t="str">
        <f>IF($K$40="нет","без дифференциации",IF($N$40=0,"",$N$40))</f>
        <v>Территория 3</v>
      </c>
      <c r="AL40" s="1758" t="str">
        <f>IF($O$40="нет","без дифференциации",IF($R$40=0,"",$R$40))</f>
        <v>без дифференциации</v>
      </c>
      <c r="AM40" s="1758" t="str">
        <f>IF($S$40="нет","без дифференциации",IF($V$40=0,"",$V$40))</f>
        <v>без дифференциации</v>
      </c>
      <c r="AN40" s="1184">
        <f>$I$34</f>
        <v>1</v>
      </c>
      <c r="AO40" s="1184" t="str">
        <f>$I$34&amp;"."&amp;$M$40</f>
        <v>1.3</v>
      </c>
      <c r="AP40" s="1184" t="str">
        <f>$I$34&amp;"."&amp;$M$40&amp;"."&amp;$Q$40</f>
        <v>1.3.1</v>
      </c>
      <c r="AQ40" s="1184" t="str">
        <f>$I$34&amp;"."&amp;$M$40&amp;"."&amp;$Q$40&amp;"."&amp;$U$40</f>
        <v>1.3.1.1</v>
      </c>
      <c r="AR40" s="2049"/>
    </row>
    <row r="41" spans="1:44" ht="17.25" customHeight="1">
      <c r="A41" s="1754"/>
      <c r="B41" s="2049"/>
      <c r="C41" s="1759"/>
      <c r="D41" s="3085"/>
      <c r="E41" s="3120"/>
      <c r="F41" s="3097"/>
      <c r="G41" s="3110"/>
      <c r="H41" s="3085"/>
      <c r="I41" s="3085"/>
      <c r="J41" s="3083"/>
      <c r="K41" s="3086"/>
      <c r="L41" s="3049"/>
      <c r="M41" s="3049"/>
      <c r="N41" s="3076"/>
      <c r="O41" s="3079"/>
      <c r="P41" s="3049"/>
      <c r="Q41" s="3049"/>
      <c r="R41" s="3080" t="s">
        <v>28</v>
      </c>
      <c r="S41" s="3048"/>
      <c r="T41" s="252"/>
      <c r="U41" s="253"/>
      <c r="V41" s="253" t="s">
        <v>180</v>
      </c>
      <c r="W41" s="254"/>
      <c r="X41" s="2049"/>
      <c r="Y41" s="1176"/>
      <c r="Z41" s="1176"/>
      <c r="AA41" s="1176"/>
      <c r="AB41" s="1176"/>
      <c r="AC41" s="1176"/>
      <c r="AD41" s="1176"/>
      <c r="AE41" s="1176"/>
      <c r="AF41" s="1176"/>
      <c r="AG41" s="1176"/>
      <c r="AH41" s="1176"/>
      <c r="AI41" s="1176"/>
      <c r="AJ41" s="1176"/>
      <c r="AK41" s="1176"/>
      <c r="AL41" s="2049"/>
      <c r="AM41" s="2049"/>
      <c r="AN41" s="2049"/>
      <c r="AO41" s="2049"/>
      <c r="AP41" s="2049"/>
      <c r="AQ41" s="2049"/>
      <c r="AR41" s="2049"/>
    </row>
    <row r="42" spans="1:44" ht="17.25" customHeight="1">
      <c r="A42" s="1754"/>
      <c r="B42" s="2049"/>
      <c r="C42" s="1759"/>
      <c r="D42" s="3085"/>
      <c r="E42" s="3120"/>
      <c r="F42" s="3097"/>
      <c r="G42" s="3110"/>
      <c r="H42" s="3085"/>
      <c r="I42" s="3085"/>
      <c r="J42" s="3083"/>
      <c r="K42" s="3086"/>
      <c r="L42" s="3075"/>
      <c r="M42" s="3075"/>
      <c r="N42" s="3077"/>
      <c r="O42" s="3053"/>
      <c r="P42" s="252"/>
      <c r="Q42" s="253"/>
      <c r="R42" s="253" t="s">
        <v>181</v>
      </c>
      <c r="S42" s="1760"/>
      <c r="T42" s="1760"/>
      <c r="U42" s="1760"/>
      <c r="V42" s="1760"/>
      <c r="W42" s="254"/>
      <c r="X42" s="2049"/>
      <c r="Y42" s="1176"/>
      <c r="Z42" s="1176"/>
      <c r="AA42" s="1176"/>
      <c r="AB42" s="1176"/>
      <c r="AC42" s="1176"/>
      <c r="AD42" s="1176"/>
      <c r="AE42" s="1176"/>
      <c r="AF42" s="1176"/>
      <c r="AG42" s="1176"/>
      <c r="AH42" s="1176"/>
      <c r="AI42" s="1176"/>
      <c r="AJ42" s="1176"/>
      <c r="AK42" s="1176"/>
      <c r="AL42" s="2049"/>
      <c r="AM42" s="2049"/>
      <c r="AN42" s="2049"/>
      <c r="AO42" s="2049"/>
      <c r="AP42" s="2049"/>
      <c r="AQ42" s="2049"/>
      <c r="AR42" s="2049"/>
    </row>
    <row r="43" spans="1:44" s="2028" customFormat="1" ht="17.25" customHeight="1">
      <c r="A43" s="256"/>
      <c r="C43" s="255"/>
      <c r="D43" s="3075"/>
      <c r="E43" s="3095"/>
      <c r="F43" s="3097"/>
      <c r="G43" s="3109"/>
      <c r="H43" s="3075"/>
      <c r="I43" s="3075"/>
      <c r="J43" s="3082"/>
      <c r="K43" s="3053"/>
      <c r="L43" s="2092"/>
      <c r="M43" s="2093"/>
      <c r="N43" s="2094" t="s">
        <v>188</v>
      </c>
      <c r="O43" s="2095"/>
      <c r="P43" s="2096"/>
      <c r="Q43" s="2097"/>
      <c r="R43" s="2098"/>
      <c r="S43" s="2099"/>
      <c r="T43" s="2100"/>
      <c r="U43" s="2101"/>
      <c r="V43" s="2102"/>
      <c r="W43" s="2103"/>
      <c r="X43" s="1176"/>
      <c r="Y43" s="1176"/>
      <c r="Z43" s="1176"/>
      <c r="AA43" s="1176"/>
      <c r="AB43" s="1176"/>
      <c r="AC43" s="1176"/>
      <c r="AD43" s="1176"/>
      <c r="AE43" s="1176"/>
      <c r="AF43" s="1176"/>
      <c r="AG43" s="1176"/>
      <c r="AH43" s="1176"/>
      <c r="AI43" s="1176"/>
      <c r="AJ43" s="1176"/>
      <c r="AK43" s="1176"/>
      <c r="AL43" s="1176"/>
      <c r="AM43" s="1176"/>
      <c r="AN43" s="1176"/>
      <c r="AO43" s="1176"/>
      <c r="AP43" s="1176"/>
      <c r="AQ43" s="1176"/>
      <c r="AR43" s="1200">
        <v>0</v>
      </c>
    </row>
    <row r="44" spans="1:44" s="2028" customFormat="1" ht="17.25" customHeight="1">
      <c r="A44" s="256"/>
      <c r="C44" s="255"/>
      <c r="D44" s="3075"/>
      <c r="E44" s="3095"/>
      <c r="F44" s="3098"/>
      <c r="G44" s="3109"/>
      <c r="H44" s="2104"/>
      <c r="I44" s="2105"/>
      <c r="J44" s="2106" t="s">
        <v>189</v>
      </c>
      <c r="K44" s="2107"/>
      <c r="L44" s="2108"/>
      <c r="M44" s="2109"/>
      <c r="N44" s="2110"/>
      <c r="O44" s="2111"/>
      <c r="P44" s="2112"/>
      <c r="Q44" s="2113"/>
      <c r="R44" s="2114"/>
      <c r="S44" s="2115"/>
      <c r="T44" s="2116"/>
      <c r="U44" s="2117"/>
      <c r="V44" s="2118"/>
      <c r="W44" s="2119"/>
      <c r="X44" s="1176"/>
      <c r="Y44" s="1176"/>
      <c r="Z44" s="1176"/>
      <c r="AA44" s="1176"/>
      <c r="AB44" s="1176"/>
      <c r="AC44" s="1176"/>
      <c r="AD44" s="1176"/>
      <c r="AE44" s="1176"/>
      <c r="AF44" s="1176"/>
      <c r="AG44" s="1176"/>
      <c r="AH44" s="1176"/>
      <c r="AI44" s="1176"/>
      <c r="AJ44" s="1176"/>
      <c r="AK44" s="1176"/>
      <c r="AL44" s="1176"/>
      <c r="AM44" s="1176"/>
      <c r="AN44" s="1176"/>
      <c r="AO44" s="1176"/>
      <c r="AP44" s="1176"/>
      <c r="AQ44" s="1176"/>
      <c r="AR44" s="1200">
        <v>0</v>
      </c>
    </row>
    <row r="45" spans="1:44" s="2028" customFormat="1" ht="17.25" customHeight="1">
      <c r="A45" s="256"/>
      <c r="C45" s="144"/>
      <c r="D45" s="3087">
        <v>4</v>
      </c>
      <c r="E45" s="3094" t="s">
        <v>202</v>
      </c>
      <c r="F45" s="3096" t="s">
        <v>67</v>
      </c>
      <c r="G45" s="3108" t="str">
        <f>INDEX(VD_NAME_LIST,MATCH("4190064",VD_ID_LIST,0))&amp;"; "&amp;INDEX(VD_NAME_LIST,MATCH("4190067",VD_ID_LIST,0))&amp;"; "&amp;INDEX(VD_NAME_LIST,MATCH("4190068",VD_ID_LIST,0))&amp;"; "&amp;INDEX(VD_NAME_LIST,MATCH("4190069",VD_ID_LIST,0))&amp;"; "&amp;INDEX(VD_NAME_LIST,MATCH("4190070",VD_ID_LIST,0))&amp;"; "&amp;INDEX(VD_NAME_LIST,MATCH("4190071",VD_ID_LIST,0))</f>
        <v>Производство тепловой энергии. Некомбинированная выработка; Производство. Теплоноситель; Передача. Тепловая энергия; Передача. Теплоноситель; Сбыт. Тепловая энергия; Сбыт. Теплоноситель</v>
      </c>
      <c r="H45" s="3084"/>
      <c r="I45" s="3084">
        <v>1</v>
      </c>
      <c r="J45" s="3081"/>
      <c r="K45" s="3078" t="s">
        <v>67</v>
      </c>
      <c r="L45" s="3049"/>
      <c r="M45" s="3049" t="s">
        <v>124</v>
      </c>
      <c r="N45" s="3076" t="str">
        <f>IF(Z45="","",INDEX(TERRITORY_MR_LIST,MATCH(Z45,TERRITORY_LIST_ID,0)))</f>
        <v>Территория 1</v>
      </c>
      <c r="O45" s="3078" t="s">
        <v>19</v>
      </c>
      <c r="P45" s="3049"/>
      <c r="Q45" s="3049" t="s">
        <v>124</v>
      </c>
      <c r="R45" s="3080" t="s">
        <v>28</v>
      </c>
      <c r="S45" s="3048" t="s">
        <v>19</v>
      </c>
      <c r="T45" s="2034"/>
      <c r="U45" s="2034" t="s">
        <v>124</v>
      </c>
      <c r="V45" s="2035" t="s">
        <v>28</v>
      </c>
      <c r="W45" s="2033"/>
      <c r="X45" s="1184"/>
      <c r="Y45" s="1184"/>
      <c r="Z45" s="1184" t="s">
        <v>99</v>
      </c>
      <c r="AA45" s="1184"/>
      <c r="AB45" s="1184" t="s">
        <v>174</v>
      </c>
      <c r="AC45" s="1184" t="s">
        <v>203</v>
      </c>
      <c r="AD45" s="1184" t="s">
        <v>204</v>
      </c>
      <c r="AE45" s="1184" t="s">
        <v>205</v>
      </c>
      <c r="AF45" s="1184" t="s">
        <v>206</v>
      </c>
      <c r="AG45" s="1184" t="s">
        <v>207</v>
      </c>
      <c r="AH45" s="1184" t="str">
        <f>IF($E$45=0,"",$E$45)</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45" s="1184" t="str">
        <f>IF($G$45=0,"",$G$45)</f>
        <v>Производство тепловой энергии. Некомбинированная выработка; Производство. Теплоноситель; Передача. Тепловая энергия; Передача. Теплоноситель; Сбыт. Тепловая энергия; Сбыт. Теплоноситель</v>
      </c>
      <c r="AJ45" s="1184" t="str">
        <f>IF($J$45=0,"",$J$45)</f>
        <v/>
      </c>
      <c r="AK45" s="1184" t="str">
        <f>IF($K$45="нет","без дифференциации",IF($N$45=0,"",$N$45))</f>
        <v>Территория 1</v>
      </c>
      <c r="AL45" s="1184" t="str">
        <f>IF($O$45="нет","без дифференциации",IF($R$45=0,"",$R$45))</f>
        <v>без дифференциации</v>
      </c>
      <c r="AM45" s="1184" t="str">
        <f>IF($S$45="нет","без дифференциации",IF($V$45=0,"",$V$45))</f>
        <v>без дифференциации</v>
      </c>
      <c r="AN45" s="1688">
        <f>$I$45</f>
        <v>1</v>
      </c>
      <c r="AO45" s="1184" t="str">
        <f>$I$45&amp;"."&amp;$M$45</f>
        <v>1.1</v>
      </c>
      <c r="AP45" s="1176" t="str">
        <f>$I$45&amp;"."&amp;$M$45&amp;"."&amp;$Q$45</f>
        <v>1.1.1</v>
      </c>
      <c r="AQ45" s="1176" t="str">
        <f>$I$45&amp;"."&amp;$M$45&amp;"."&amp;$Q$45&amp;"."&amp;$U$45</f>
        <v>1.1.1.1</v>
      </c>
      <c r="AR45" s="1200">
        <v>0</v>
      </c>
    </row>
    <row r="46" spans="1:44" s="2028" customFormat="1" ht="17.25" customHeight="1">
      <c r="A46" s="256"/>
      <c r="C46" s="255"/>
      <c r="D46" s="3087"/>
      <c r="E46" s="3094"/>
      <c r="F46" s="3097"/>
      <c r="G46" s="3108"/>
      <c r="H46" s="3084"/>
      <c r="I46" s="3084"/>
      <c r="J46" s="3081"/>
      <c r="K46" s="3079"/>
      <c r="L46" s="3049"/>
      <c r="M46" s="3049"/>
      <c r="N46" s="3076"/>
      <c r="O46" s="3079"/>
      <c r="P46" s="3049"/>
      <c r="Q46" s="3049"/>
      <c r="R46" s="3080" t="s">
        <v>28</v>
      </c>
      <c r="S46" s="3048"/>
      <c r="T46" s="2120"/>
      <c r="U46" s="2121"/>
      <c r="V46" s="2122" t="s">
        <v>180</v>
      </c>
      <c r="W46" s="2123"/>
      <c r="X46" s="1176"/>
      <c r="Y46" s="1176"/>
      <c r="Z46" s="1176"/>
      <c r="AA46" s="1176"/>
      <c r="AB46" s="1176"/>
      <c r="AC46" s="1176"/>
      <c r="AD46" s="1176"/>
      <c r="AE46" s="1176"/>
      <c r="AF46" s="1176"/>
      <c r="AG46" s="1176"/>
      <c r="AH46" s="1176"/>
      <c r="AI46" s="1176"/>
      <c r="AJ46" s="1176"/>
      <c r="AK46" s="1176"/>
      <c r="AL46" s="1176"/>
      <c r="AM46" s="1176"/>
      <c r="AN46" s="1176"/>
      <c r="AO46" s="1176"/>
      <c r="AP46" s="1176"/>
      <c r="AQ46" s="1176"/>
      <c r="AR46" s="1200">
        <v>0</v>
      </c>
    </row>
    <row r="47" spans="1:44" s="2028" customFormat="1" ht="17.25" customHeight="1">
      <c r="A47" s="256"/>
      <c r="C47" s="255"/>
      <c r="D47" s="3075"/>
      <c r="E47" s="3095"/>
      <c r="F47" s="3097"/>
      <c r="G47" s="3109"/>
      <c r="H47" s="3075"/>
      <c r="I47" s="3075"/>
      <c r="J47" s="3082"/>
      <c r="K47" s="3079"/>
      <c r="L47" s="3075"/>
      <c r="M47" s="3075"/>
      <c r="N47" s="3077"/>
      <c r="O47" s="3053"/>
      <c r="P47" s="2124"/>
      <c r="Q47" s="2125"/>
      <c r="R47" s="2126" t="s">
        <v>181</v>
      </c>
      <c r="S47" s="2127"/>
      <c r="T47" s="2128"/>
      <c r="U47" s="2129"/>
      <c r="V47" s="2130"/>
      <c r="W47" s="2131"/>
      <c r="X47" s="1176"/>
      <c r="Y47" s="1176"/>
      <c r="Z47" s="1176"/>
      <c r="AA47" s="1176"/>
      <c r="AB47" s="1176"/>
      <c r="AC47" s="1176"/>
      <c r="AD47" s="1176"/>
      <c r="AE47" s="1176"/>
      <c r="AF47" s="1176"/>
      <c r="AG47" s="1176"/>
      <c r="AH47" s="1176"/>
      <c r="AI47" s="1176"/>
      <c r="AJ47" s="1176"/>
      <c r="AK47" s="1176"/>
      <c r="AL47" s="1176"/>
      <c r="AM47" s="1176"/>
      <c r="AN47" s="1176"/>
      <c r="AO47" s="1176"/>
      <c r="AP47" s="1176"/>
      <c r="AQ47" s="1176"/>
      <c r="AR47" s="1200">
        <v>0</v>
      </c>
    </row>
    <row r="48" spans="1:44" ht="17.25" customHeight="1">
      <c r="A48" s="1754"/>
      <c r="B48" s="2049"/>
      <c r="C48" s="1756"/>
      <c r="D48" s="3085"/>
      <c r="E48" s="3120"/>
      <c r="F48" s="3097"/>
      <c r="G48" s="3110"/>
      <c r="H48" s="3085"/>
      <c r="I48" s="3085"/>
      <c r="J48" s="3083"/>
      <c r="K48" s="3086"/>
      <c r="L48" s="3049" t="s">
        <v>105</v>
      </c>
      <c r="M48" s="3049" t="s">
        <v>104</v>
      </c>
      <c r="N48" s="3076" t="str">
        <f>IF(Z48="","",INDEX(TERRITORY_MR_LIST,MATCH(Z48,TERRITORY_LIST_ID,0)))</f>
        <v>Территория 2</v>
      </c>
      <c r="O48" s="3078" t="s">
        <v>19</v>
      </c>
      <c r="P48" s="3049"/>
      <c r="Q48" s="3049" t="s">
        <v>124</v>
      </c>
      <c r="R48" s="3080" t="s">
        <v>28</v>
      </c>
      <c r="S48" s="3048" t="s">
        <v>19</v>
      </c>
      <c r="T48" s="1727"/>
      <c r="U48" s="1727" t="s">
        <v>124</v>
      </c>
      <c r="V48" s="2050" t="s">
        <v>28</v>
      </c>
      <c r="W48" s="1717"/>
      <c r="X48" s="2049"/>
      <c r="Y48" s="1184"/>
      <c r="Z48" s="1184" t="s">
        <v>106</v>
      </c>
      <c r="AA48" s="1184"/>
      <c r="AB48" s="1184"/>
      <c r="AC48" s="2051" t="s">
        <v>203</v>
      </c>
      <c r="AD48" s="2051" t="s">
        <v>204</v>
      </c>
      <c r="AE48" s="1184" t="s">
        <v>208</v>
      </c>
      <c r="AF48" s="1184" t="s">
        <v>209</v>
      </c>
      <c r="AG48" s="1184" t="s">
        <v>210</v>
      </c>
      <c r="AH48" s="1184" t="str">
        <f>IF($E$45=0,"",$E$45)</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48" s="1184" t="str">
        <f>IF($G$45=0,"",$G$45)</f>
        <v>Производство тепловой энергии. Некомбинированная выработка; Производство. Теплоноситель; Передача. Тепловая энергия; Передача. Теплоноситель; Сбыт. Тепловая энергия; Сбыт. Теплоноситель</v>
      </c>
      <c r="AJ48" s="1184" t="str">
        <f>IF($J$45=0,"",$J$45)</f>
        <v/>
      </c>
      <c r="AK48" s="1184" t="str">
        <f>IF($K$48="нет","без дифференциации",IF($N$48=0,"",$N$48))</f>
        <v>Территория 2</v>
      </c>
      <c r="AL48" s="1758" t="str">
        <f>IF($O$48="нет","без дифференциации",IF($R$48=0,"",$R$48))</f>
        <v>без дифференциации</v>
      </c>
      <c r="AM48" s="1758" t="str">
        <f>IF($S$48="нет","без дифференциации",IF($V$48=0,"",$V$48))</f>
        <v>без дифференциации</v>
      </c>
      <c r="AN48" s="1184">
        <f>$I$45</f>
        <v>1</v>
      </c>
      <c r="AO48" s="1184" t="str">
        <f>$I$45&amp;"."&amp;$M$48</f>
        <v>1.2</v>
      </c>
      <c r="AP48" s="1184" t="str">
        <f>$I$45&amp;"."&amp;$M$48&amp;"."&amp;$Q$48</f>
        <v>1.2.1</v>
      </c>
      <c r="AQ48" s="1184" t="str">
        <f>$I$45&amp;"."&amp;$M$48&amp;"."&amp;$Q$48&amp;"."&amp;$U$48</f>
        <v>1.2.1.1</v>
      </c>
      <c r="AR48" s="2049"/>
    </row>
    <row r="49" spans="1:44" ht="17.25" customHeight="1">
      <c r="A49" s="1754"/>
      <c r="B49" s="2049"/>
      <c r="C49" s="1759"/>
      <c r="D49" s="3085"/>
      <c r="E49" s="3120"/>
      <c r="F49" s="3097"/>
      <c r="G49" s="3110"/>
      <c r="H49" s="3085"/>
      <c r="I49" s="3085"/>
      <c r="J49" s="3083"/>
      <c r="K49" s="3086"/>
      <c r="L49" s="3049"/>
      <c r="M49" s="3049"/>
      <c r="N49" s="3076"/>
      <c r="O49" s="3079"/>
      <c r="P49" s="3049"/>
      <c r="Q49" s="3049"/>
      <c r="R49" s="3080" t="s">
        <v>28</v>
      </c>
      <c r="S49" s="3048"/>
      <c r="T49" s="252"/>
      <c r="U49" s="253"/>
      <c r="V49" s="253" t="s">
        <v>180</v>
      </c>
      <c r="W49" s="254"/>
      <c r="X49" s="2049"/>
      <c r="Y49" s="1176"/>
      <c r="Z49" s="1176"/>
      <c r="AA49" s="1176"/>
      <c r="AB49" s="1176"/>
      <c r="AC49" s="1176"/>
      <c r="AD49" s="1176"/>
      <c r="AE49" s="1176"/>
      <c r="AF49" s="1176"/>
      <c r="AG49" s="1176"/>
      <c r="AH49" s="1176"/>
      <c r="AI49" s="1176"/>
      <c r="AJ49" s="1176"/>
      <c r="AK49" s="1176"/>
      <c r="AL49" s="2049"/>
      <c r="AM49" s="2049"/>
      <c r="AN49" s="2049"/>
      <c r="AO49" s="2049"/>
      <c r="AP49" s="2049"/>
      <c r="AQ49" s="2049"/>
      <c r="AR49" s="2049"/>
    </row>
    <row r="50" spans="1:44" ht="17.25" customHeight="1">
      <c r="A50" s="1754"/>
      <c r="B50" s="2049"/>
      <c r="C50" s="1759"/>
      <c r="D50" s="3085"/>
      <c r="E50" s="3120"/>
      <c r="F50" s="3097"/>
      <c r="G50" s="3110"/>
      <c r="H50" s="3085"/>
      <c r="I50" s="3085"/>
      <c r="J50" s="3083"/>
      <c r="K50" s="3086"/>
      <c r="L50" s="3075"/>
      <c r="M50" s="3075"/>
      <c r="N50" s="3077"/>
      <c r="O50" s="3053"/>
      <c r="P50" s="252"/>
      <c r="Q50" s="253"/>
      <c r="R50" s="253" t="s">
        <v>181</v>
      </c>
      <c r="S50" s="1760"/>
      <c r="T50" s="1760"/>
      <c r="U50" s="1760"/>
      <c r="V50" s="1760"/>
      <c r="W50" s="254"/>
      <c r="X50" s="2049"/>
      <c r="Y50" s="1176"/>
      <c r="Z50" s="1176"/>
      <c r="AA50" s="1176"/>
      <c r="AB50" s="1176"/>
      <c r="AC50" s="1176"/>
      <c r="AD50" s="1176"/>
      <c r="AE50" s="1176"/>
      <c r="AF50" s="1176"/>
      <c r="AG50" s="1176"/>
      <c r="AH50" s="1176"/>
      <c r="AI50" s="1176"/>
      <c r="AJ50" s="1176"/>
      <c r="AK50" s="1176"/>
      <c r="AL50" s="2049"/>
      <c r="AM50" s="2049"/>
      <c r="AN50" s="2049"/>
      <c r="AO50" s="2049"/>
      <c r="AP50" s="2049"/>
      <c r="AQ50" s="2049"/>
      <c r="AR50" s="2049"/>
    </row>
    <row r="51" spans="1:44" ht="17.25" customHeight="1">
      <c r="A51" s="1754"/>
      <c r="B51" s="2049"/>
      <c r="C51" s="1756"/>
      <c r="D51" s="3085"/>
      <c r="E51" s="3120"/>
      <c r="F51" s="3097"/>
      <c r="G51" s="3110"/>
      <c r="H51" s="3085"/>
      <c r="I51" s="3085"/>
      <c r="J51" s="3083"/>
      <c r="K51" s="3086"/>
      <c r="L51" s="3049" t="s">
        <v>105</v>
      </c>
      <c r="M51" s="3049" t="s">
        <v>91</v>
      </c>
      <c r="N51" s="3076" t="str">
        <f>IF(Z51="","",INDEX(TERRITORY_MR_LIST,MATCH(Z51,TERRITORY_LIST_ID,0)))</f>
        <v>Территория 3</v>
      </c>
      <c r="O51" s="3078" t="s">
        <v>19</v>
      </c>
      <c r="P51" s="3049"/>
      <c r="Q51" s="3049" t="s">
        <v>124</v>
      </c>
      <c r="R51" s="3080" t="s">
        <v>28</v>
      </c>
      <c r="S51" s="3048" t="s">
        <v>19</v>
      </c>
      <c r="T51" s="1727"/>
      <c r="U51" s="1727" t="s">
        <v>124</v>
      </c>
      <c r="V51" s="2050" t="s">
        <v>28</v>
      </c>
      <c r="W51" s="1717"/>
      <c r="X51" s="2049"/>
      <c r="Y51" s="1184"/>
      <c r="Z51" s="1184" t="s">
        <v>111</v>
      </c>
      <c r="AA51" s="1184"/>
      <c r="AB51" s="1184"/>
      <c r="AC51" s="2051" t="s">
        <v>203</v>
      </c>
      <c r="AD51" s="2051" t="s">
        <v>204</v>
      </c>
      <c r="AE51" s="1184" t="s">
        <v>211</v>
      </c>
      <c r="AF51" s="1184" t="s">
        <v>212</v>
      </c>
      <c r="AG51" s="1184" t="s">
        <v>213</v>
      </c>
      <c r="AH51" s="1184" t="str">
        <f>IF($E$45=0,"",$E$45)</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51" s="1184" t="str">
        <f>IF($G$45=0,"",$G$45)</f>
        <v>Производство тепловой энергии. Некомбинированная выработка; Производство. Теплоноситель; Передача. Тепловая энергия; Передача. Теплоноситель; Сбыт. Тепловая энергия; Сбыт. Теплоноситель</v>
      </c>
      <c r="AJ51" s="1184" t="str">
        <f>IF($J$45=0,"",$J$45)</f>
        <v/>
      </c>
      <c r="AK51" s="1184" t="str">
        <f>IF($K$51="нет","без дифференциации",IF($N$51=0,"",$N$51))</f>
        <v>Территория 3</v>
      </c>
      <c r="AL51" s="1758" t="str">
        <f>IF($O$51="нет","без дифференциации",IF($R$51=0,"",$R$51))</f>
        <v>без дифференциации</v>
      </c>
      <c r="AM51" s="1758" t="str">
        <f>IF($S$51="нет","без дифференциации",IF($V$51=0,"",$V$51))</f>
        <v>без дифференциации</v>
      </c>
      <c r="AN51" s="1184">
        <f>$I$45</f>
        <v>1</v>
      </c>
      <c r="AO51" s="1184" t="str">
        <f>$I$45&amp;"."&amp;$M$51</f>
        <v>1.3</v>
      </c>
      <c r="AP51" s="1184" t="str">
        <f>$I$45&amp;"."&amp;$M$51&amp;"."&amp;$Q$51</f>
        <v>1.3.1</v>
      </c>
      <c r="AQ51" s="1184" t="str">
        <f>$I$45&amp;"."&amp;$M$51&amp;"."&amp;$Q$51&amp;"."&amp;$U$51</f>
        <v>1.3.1.1</v>
      </c>
      <c r="AR51" s="2049"/>
    </row>
    <row r="52" spans="1:44" ht="17.25" customHeight="1">
      <c r="A52" s="1754"/>
      <c r="B52" s="2049"/>
      <c r="C52" s="1759"/>
      <c r="D52" s="3085"/>
      <c r="E52" s="3120"/>
      <c r="F52" s="3097"/>
      <c r="G52" s="3110"/>
      <c r="H52" s="3085"/>
      <c r="I52" s="3085"/>
      <c r="J52" s="3083"/>
      <c r="K52" s="3086"/>
      <c r="L52" s="3049"/>
      <c r="M52" s="3049"/>
      <c r="N52" s="3076"/>
      <c r="O52" s="3079"/>
      <c r="P52" s="3049"/>
      <c r="Q52" s="3049"/>
      <c r="R52" s="3080" t="s">
        <v>28</v>
      </c>
      <c r="S52" s="3048"/>
      <c r="T52" s="252"/>
      <c r="U52" s="253"/>
      <c r="V52" s="253" t="s">
        <v>180</v>
      </c>
      <c r="W52" s="254"/>
      <c r="X52" s="2049"/>
      <c r="Y52" s="1176"/>
      <c r="Z52" s="1176"/>
      <c r="AA52" s="1176"/>
      <c r="AB52" s="1176"/>
      <c r="AC52" s="1176"/>
      <c r="AD52" s="1176"/>
      <c r="AE52" s="1176"/>
      <c r="AF52" s="1176"/>
      <c r="AG52" s="1176"/>
      <c r="AH52" s="1176"/>
      <c r="AI52" s="1176"/>
      <c r="AJ52" s="1176"/>
      <c r="AK52" s="1176"/>
      <c r="AL52" s="2049"/>
      <c r="AM52" s="2049"/>
      <c r="AN52" s="2049"/>
      <c r="AO52" s="2049"/>
      <c r="AP52" s="2049"/>
      <c r="AQ52" s="2049"/>
      <c r="AR52" s="2049"/>
    </row>
    <row r="53" spans="1:44" ht="17.25" customHeight="1">
      <c r="A53" s="1754"/>
      <c r="B53" s="2049"/>
      <c r="C53" s="1759"/>
      <c r="D53" s="3085"/>
      <c r="E53" s="3120"/>
      <c r="F53" s="3097"/>
      <c r="G53" s="3110"/>
      <c r="H53" s="3085"/>
      <c r="I53" s="3085"/>
      <c r="J53" s="3083"/>
      <c r="K53" s="3086"/>
      <c r="L53" s="3075"/>
      <c r="M53" s="3075"/>
      <c r="N53" s="3077"/>
      <c r="O53" s="3053"/>
      <c r="P53" s="252"/>
      <c r="Q53" s="253"/>
      <c r="R53" s="253" t="s">
        <v>181</v>
      </c>
      <c r="S53" s="1760"/>
      <c r="T53" s="1760"/>
      <c r="U53" s="1760"/>
      <c r="V53" s="1760"/>
      <c r="W53" s="254"/>
      <c r="X53" s="2049"/>
      <c r="Y53" s="1176"/>
      <c r="Z53" s="1176"/>
      <c r="AA53" s="1176"/>
      <c r="AB53" s="1176"/>
      <c r="AC53" s="1176"/>
      <c r="AD53" s="1176"/>
      <c r="AE53" s="1176"/>
      <c r="AF53" s="1176"/>
      <c r="AG53" s="1176"/>
      <c r="AH53" s="1176"/>
      <c r="AI53" s="1176"/>
      <c r="AJ53" s="1176"/>
      <c r="AK53" s="1176"/>
      <c r="AL53" s="2049"/>
      <c r="AM53" s="2049"/>
      <c r="AN53" s="2049"/>
      <c r="AO53" s="2049"/>
      <c r="AP53" s="2049"/>
      <c r="AQ53" s="2049"/>
      <c r="AR53" s="2049"/>
    </row>
    <row r="54" spans="1:44" s="2028" customFormat="1" ht="17.25" customHeight="1">
      <c r="A54" s="256"/>
      <c r="C54" s="255"/>
      <c r="D54" s="3075"/>
      <c r="E54" s="3095"/>
      <c r="F54" s="3097"/>
      <c r="G54" s="3109"/>
      <c r="H54" s="3075"/>
      <c r="I54" s="3075"/>
      <c r="J54" s="3082"/>
      <c r="K54" s="3053"/>
      <c r="L54" s="2132"/>
      <c r="M54" s="2133"/>
      <c r="N54" s="2134" t="s">
        <v>188</v>
      </c>
      <c r="O54" s="2135"/>
      <c r="P54" s="2136"/>
      <c r="Q54" s="2137"/>
      <c r="R54" s="2138"/>
      <c r="S54" s="2139"/>
      <c r="T54" s="2140"/>
      <c r="U54" s="2141"/>
      <c r="V54" s="2142"/>
      <c r="W54" s="2143"/>
      <c r="X54" s="1176"/>
      <c r="Y54" s="1176"/>
      <c r="Z54" s="1176"/>
      <c r="AA54" s="1176"/>
      <c r="AB54" s="1176"/>
      <c r="AC54" s="1176"/>
      <c r="AD54" s="1176"/>
      <c r="AE54" s="1176"/>
      <c r="AF54" s="1176"/>
      <c r="AG54" s="1176"/>
      <c r="AH54" s="1176"/>
      <c r="AI54" s="1176"/>
      <c r="AJ54" s="1176"/>
      <c r="AK54" s="1176"/>
      <c r="AL54" s="1176"/>
      <c r="AM54" s="1176"/>
      <c r="AN54" s="1176"/>
      <c r="AO54" s="1176"/>
      <c r="AP54" s="1176"/>
      <c r="AQ54" s="1176"/>
      <c r="AR54" s="1200">
        <v>0</v>
      </c>
    </row>
    <row r="55" spans="1:44" s="2028" customFormat="1" ht="17.25" customHeight="1">
      <c r="A55" s="256"/>
      <c r="C55" s="255"/>
      <c r="D55" s="3075"/>
      <c r="E55" s="3095"/>
      <c r="F55" s="3098"/>
      <c r="G55" s="3109"/>
      <c r="H55" s="2144"/>
      <c r="I55" s="2145"/>
      <c r="J55" s="2146" t="s">
        <v>189</v>
      </c>
      <c r="K55" s="2147"/>
      <c r="L55" s="2148"/>
      <c r="M55" s="2149"/>
      <c r="N55" s="2150"/>
      <c r="O55" s="2151"/>
      <c r="P55" s="2152"/>
      <c r="Q55" s="2153"/>
      <c r="R55" s="2154"/>
      <c r="S55" s="2155"/>
      <c r="T55" s="2156"/>
      <c r="U55" s="2157"/>
      <c r="V55" s="2158"/>
      <c r="W55" s="2159"/>
      <c r="X55" s="1176"/>
      <c r="Y55" s="1176"/>
      <c r="Z55" s="1176"/>
      <c r="AA55" s="1176"/>
      <c r="AB55" s="1176"/>
      <c r="AC55" s="1176"/>
      <c r="AD55" s="1176"/>
      <c r="AE55" s="1176"/>
      <c r="AF55" s="1176"/>
      <c r="AG55" s="1176"/>
      <c r="AH55" s="1176"/>
      <c r="AI55" s="1176"/>
      <c r="AJ55" s="1176"/>
      <c r="AK55" s="1176"/>
      <c r="AL55" s="1176"/>
      <c r="AM55" s="1176"/>
      <c r="AN55" s="1176"/>
      <c r="AO55" s="1176"/>
      <c r="AP55" s="1176"/>
      <c r="AQ55" s="1176"/>
      <c r="AR55" s="1200">
        <v>0</v>
      </c>
    </row>
    <row r="56" spans="1:44" s="2028" customFormat="1" ht="17.25" customHeight="1">
      <c r="A56" s="256"/>
      <c r="C56" s="144"/>
      <c r="D56" s="3087">
        <v>5</v>
      </c>
      <c r="E56" s="3094" t="s">
        <v>214</v>
      </c>
      <c r="F56" s="3096" t="s">
        <v>67</v>
      </c>
      <c r="G56" s="3108" t="str">
        <f>INDEX(VD_NAME_LIST,MATCH("4190068",VD_ID_LIST,0))</f>
        <v>Передача. Тепловая энергия</v>
      </c>
      <c r="H56" s="3084"/>
      <c r="I56" s="3084">
        <v>1</v>
      </c>
      <c r="J56" s="3081"/>
      <c r="K56" s="3078" t="s">
        <v>67</v>
      </c>
      <c r="L56" s="3049"/>
      <c r="M56" s="3049" t="s">
        <v>124</v>
      </c>
      <c r="N56" s="3076" t="str">
        <f>IF(Z56="","",INDEX(TERRITORY_MR_LIST,MATCH(Z56,TERRITORY_LIST_ID,0)))</f>
        <v>Территория 4</v>
      </c>
      <c r="O56" s="3078" t="s">
        <v>19</v>
      </c>
      <c r="P56" s="3049"/>
      <c r="Q56" s="3049" t="s">
        <v>124</v>
      </c>
      <c r="R56" s="3080" t="s">
        <v>28</v>
      </c>
      <c r="S56" s="3048" t="s">
        <v>19</v>
      </c>
      <c r="T56" s="2034"/>
      <c r="U56" s="2034" t="s">
        <v>124</v>
      </c>
      <c r="V56" s="2035" t="s">
        <v>28</v>
      </c>
      <c r="W56" s="2033"/>
      <c r="X56" s="1184"/>
      <c r="Y56" s="1184"/>
      <c r="Z56" s="1184" t="s">
        <v>115</v>
      </c>
      <c r="AA56" s="1184"/>
      <c r="AB56" s="1184" t="s">
        <v>215</v>
      </c>
      <c r="AC56" s="1184" t="s">
        <v>216</v>
      </c>
      <c r="AD56" s="1184" t="s">
        <v>217</v>
      </c>
      <c r="AE56" s="1184" t="s">
        <v>218</v>
      </c>
      <c r="AF56" s="1184" t="s">
        <v>219</v>
      </c>
      <c r="AG56" s="1184" t="s">
        <v>220</v>
      </c>
      <c r="AH56" s="1184" t="str">
        <f>IF($E$56=0,"",$E$56)</f>
        <v>Тарифы на услуги по передаче тепловой энергии</v>
      </c>
      <c r="AI56" s="1184" t="str">
        <f>IF($G$56=0,"",$G$56)</f>
        <v>Передача. Тепловая энергия</v>
      </c>
      <c r="AJ56" s="1184" t="str">
        <f>IF($J$56=0,"",$J$56)</f>
        <v/>
      </c>
      <c r="AK56" s="1184" t="str">
        <f>IF($K$56="нет","без дифференциации",IF($N$56=0,"",$N$56))</f>
        <v>Территория 4</v>
      </c>
      <c r="AL56" s="1184" t="str">
        <f>IF($O$56="нет","без дифференциации",IF($R$56=0,"",$R$56))</f>
        <v>без дифференциации</v>
      </c>
      <c r="AM56" s="1184" t="str">
        <f>IF($S$56="нет","без дифференциации",IF($V$56=0,"",$V$56))</f>
        <v>без дифференциации</v>
      </c>
      <c r="AN56" s="1688">
        <f>$I$56</f>
        <v>1</v>
      </c>
      <c r="AO56" s="1184" t="str">
        <f>$I$56&amp;"."&amp;$M$56</f>
        <v>1.1</v>
      </c>
      <c r="AP56" s="1176" t="str">
        <f>$I$56&amp;"."&amp;$M$56&amp;"."&amp;$Q$56</f>
        <v>1.1.1</v>
      </c>
      <c r="AQ56" s="1176" t="str">
        <f>$I$56&amp;"."&amp;$M$56&amp;"."&amp;$Q$56&amp;"."&amp;$U$56</f>
        <v>1.1.1.1</v>
      </c>
      <c r="AR56" s="1200">
        <v>0</v>
      </c>
    </row>
    <row r="57" spans="1:44" s="2028" customFormat="1" ht="17.25" customHeight="1">
      <c r="A57" s="256"/>
      <c r="C57" s="255"/>
      <c r="D57" s="3087"/>
      <c r="E57" s="3094"/>
      <c r="F57" s="3097"/>
      <c r="G57" s="3108"/>
      <c r="H57" s="3084"/>
      <c r="I57" s="3084"/>
      <c r="J57" s="3081"/>
      <c r="K57" s="3079"/>
      <c r="L57" s="3049"/>
      <c r="M57" s="3049"/>
      <c r="N57" s="3076"/>
      <c r="O57" s="3079"/>
      <c r="P57" s="3049"/>
      <c r="Q57" s="3049"/>
      <c r="R57" s="3080" t="s">
        <v>28</v>
      </c>
      <c r="S57" s="3048"/>
      <c r="T57" s="2160"/>
      <c r="U57" s="2161"/>
      <c r="V57" s="2162" t="s">
        <v>180</v>
      </c>
      <c r="W57" s="2163"/>
      <c r="X57" s="1176"/>
      <c r="Y57" s="1176"/>
      <c r="Z57" s="1176"/>
      <c r="AA57" s="1176"/>
      <c r="AB57" s="1176"/>
      <c r="AC57" s="1176"/>
      <c r="AD57" s="1176"/>
      <c r="AE57" s="1176"/>
      <c r="AF57" s="1176"/>
      <c r="AG57" s="1176"/>
      <c r="AH57" s="1176"/>
      <c r="AI57" s="1176"/>
      <c r="AJ57" s="1176"/>
      <c r="AK57" s="1176"/>
      <c r="AL57" s="1176"/>
      <c r="AM57" s="1176"/>
      <c r="AN57" s="1176"/>
      <c r="AO57" s="1176"/>
      <c r="AP57" s="1176"/>
      <c r="AQ57" s="1176"/>
      <c r="AR57" s="1200">
        <v>0</v>
      </c>
    </row>
    <row r="58" spans="1:44" s="2028" customFormat="1" ht="17.25" customHeight="1">
      <c r="A58" s="256"/>
      <c r="C58" s="255"/>
      <c r="D58" s="3075"/>
      <c r="E58" s="3095"/>
      <c r="F58" s="3097"/>
      <c r="G58" s="3109"/>
      <c r="H58" s="3075"/>
      <c r="I58" s="3075"/>
      <c r="J58" s="3082"/>
      <c r="K58" s="3079"/>
      <c r="L58" s="3075"/>
      <c r="M58" s="3075"/>
      <c r="N58" s="3077"/>
      <c r="O58" s="3053"/>
      <c r="P58" s="2164"/>
      <c r="Q58" s="2165"/>
      <c r="R58" s="2166" t="s">
        <v>181</v>
      </c>
      <c r="S58" s="2167"/>
      <c r="T58" s="2168"/>
      <c r="U58" s="2169"/>
      <c r="V58" s="2170"/>
      <c r="W58" s="2171"/>
      <c r="X58" s="1176"/>
      <c r="Y58" s="1176"/>
      <c r="Z58" s="1176"/>
      <c r="AA58" s="1176"/>
      <c r="AB58" s="1176"/>
      <c r="AC58" s="1176"/>
      <c r="AD58" s="1176"/>
      <c r="AE58" s="1176"/>
      <c r="AF58" s="1176"/>
      <c r="AG58" s="1176"/>
      <c r="AH58" s="1176"/>
      <c r="AI58" s="1176"/>
      <c r="AJ58" s="1176"/>
      <c r="AK58" s="1176"/>
      <c r="AL58" s="1176"/>
      <c r="AM58" s="1176"/>
      <c r="AN58" s="1176"/>
      <c r="AO58" s="1176"/>
      <c r="AP58" s="1176"/>
      <c r="AQ58" s="1176"/>
      <c r="AR58" s="1200">
        <v>0</v>
      </c>
    </row>
    <row r="59" spans="1:44" s="2028" customFormat="1" ht="17.25" customHeight="1">
      <c r="A59" s="256"/>
      <c r="C59" s="255"/>
      <c r="D59" s="3075"/>
      <c r="E59" s="3095"/>
      <c r="F59" s="3097"/>
      <c r="G59" s="3109"/>
      <c r="H59" s="3075"/>
      <c r="I59" s="3075"/>
      <c r="J59" s="3082"/>
      <c r="K59" s="3053"/>
      <c r="L59" s="2172"/>
      <c r="M59" s="2173"/>
      <c r="N59" s="2174" t="s">
        <v>188</v>
      </c>
      <c r="O59" s="2175"/>
      <c r="P59" s="2176"/>
      <c r="Q59" s="2177"/>
      <c r="R59" s="2178"/>
      <c r="S59" s="2179"/>
      <c r="T59" s="2180"/>
      <c r="U59" s="2181"/>
      <c r="V59" s="2182"/>
      <c r="W59" s="2183"/>
      <c r="X59" s="1176"/>
      <c r="Y59" s="1176"/>
      <c r="Z59" s="1176"/>
      <c r="AA59" s="1176"/>
      <c r="AB59" s="1176"/>
      <c r="AC59" s="1176"/>
      <c r="AD59" s="1176"/>
      <c r="AE59" s="1176"/>
      <c r="AF59" s="1176"/>
      <c r="AG59" s="1176"/>
      <c r="AH59" s="1176"/>
      <c r="AI59" s="1176"/>
      <c r="AJ59" s="1176"/>
      <c r="AK59" s="1176"/>
      <c r="AL59" s="1176"/>
      <c r="AM59" s="1176"/>
      <c r="AN59" s="1176"/>
      <c r="AO59" s="1176"/>
      <c r="AP59" s="1176"/>
      <c r="AQ59" s="1176"/>
      <c r="AR59" s="1200">
        <v>0</v>
      </c>
    </row>
    <row r="60" spans="1:44" s="2028" customFormat="1" ht="17.25" customHeight="1">
      <c r="A60" s="256"/>
      <c r="C60" s="255"/>
      <c r="D60" s="3075"/>
      <c r="E60" s="3095"/>
      <c r="F60" s="3098"/>
      <c r="G60" s="3109"/>
      <c r="H60" s="2184"/>
      <c r="I60" s="2185"/>
      <c r="J60" s="2186" t="s">
        <v>189</v>
      </c>
      <c r="K60" s="2187"/>
      <c r="L60" s="2188"/>
      <c r="M60" s="2189"/>
      <c r="N60" s="2190"/>
      <c r="O60" s="2191"/>
      <c r="P60" s="2192"/>
      <c r="Q60" s="2193"/>
      <c r="R60" s="2194"/>
      <c r="S60" s="2195"/>
      <c r="T60" s="2196"/>
      <c r="U60" s="2197"/>
      <c r="V60" s="2198"/>
      <c r="W60" s="2199"/>
      <c r="X60" s="1176"/>
      <c r="Y60" s="1176"/>
      <c r="Z60" s="1176"/>
      <c r="AA60" s="1176"/>
      <c r="AB60" s="1176"/>
      <c r="AC60" s="1176"/>
      <c r="AD60" s="1176"/>
      <c r="AE60" s="1176"/>
      <c r="AF60" s="1176"/>
      <c r="AG60" s="1176"/>
      <c r="AH60" s="1176"/>
      <c r="AI60" s="1176"/>
      <c r="AJ60" s="1176"/>
      <c r="AK60" s="1176"/>
      <c r="AL60" s="1176"/>
      <c r="AM60" s="1176"/>
      <c r="AN60" s="1176"/>
      <c r="AO60" s="1176"/>
      <c r="AP60" s="1176"/>
      <c r="AQ60" s="1176"/>
      <c r="AR60" s="1200">
        <v>0</v>
      </c>
    </row>
    <row r="61" spans="1:44" s="2028" customFormat="1" ht="17.25" customHeight="1">
      <c r="A61" s="256"/>
      <c r="C61" s="144"/>
      <c r="D61" s="3087">
        <v>6</v>
      </c>
      <c r="E61" s="3094" t="s">
        <v>221</v>
      </c>
      <c r="F61" s="3096" t="s">
        <v>19</v>
      </c>
      <c r="G61" s="3094"/>
      <c r="H61" s="3099"/>
      <c r="I61" s="3101"/>
      <c r="J61" s="3103"/>
      <c r="K61" s="3088"/>
      <c r="L61" s="3088"/>
      <c r="M61" s="3088"/>
      <c r="N61" s="3090"/>
      <c r="O61" s="3088"/>
      <c r="P61" s="3088"/>
      <c r="Q61" s="3088"/>
      <c r="R61" s="3093"/>
      <c r="S61" s="3088"/>
      <c r="T61" s="1337"/>
      <c r="U61" s="1337"/>
      <c r="V61" s="1336"/>
      <c r="W61" s="1213"/>
      <c r="X61" s="1184"/>
      <c r="Y61" s="1184"/>
      <c r="Z61" s="1184"/>
      <c r="AA61" s="1184"/>
      <c r="AB61" s="1184"/>
      <c r="AC61" s="1184" t="s">
        <v>222</v>
      </c>
      <c r="AD61" s="1184" t="s">
        <v>223</v>
      </c>
      <c r="AE61" s="1184" t="s">
        <v>224</v>
      </c>
      <c r="AF61" s="1184" t="s">
        <v>225</v>
      </c>
      <c r="AG61" s="1184" t="s">
        <v>226</v>
      </c>
      <c r="AH61" s="1184" t="str">
        <f>IF($E$61=0,"",$E$61)</f>
        <v>Тарифы на услуги по передаче теплоносителя</v>
      </c>
      <c r="AI61" s="1184" t="str">
        <f>IF($G$61=0,"",$G$61)</f>
        <v/>
      </c>
      <c r="AJ61" s="1184" t="str">
        <f>IF($J$61=0,"",$J$61)</f>
        <v/>
      </c>
      <c r="AK61" s="1184" t="str">
        <f>IF($K$61="нет","без дифференциации",IF($N$61=0,"",$N$61))</f>
        <v/>
      </c>
      <c r="AL61" s="1184" t="str">
        <f>IF($O$61="нет","без дифференциации",IF($R$61=0,"",$R$61))</f>
        <v/>
      </c>
      <c r="AM61" s="1184" t="str">
        <f>IF($S$61="нет","без дифференциации",IF($V$61=0,"",$V$61))</f>
        <v/>
      </c>
      <c r="AN61" s="1688">
        <f>$I$61</f>
        <v>0</v>
      </c>
      <c r="AO61" s="1184" t="str">
        <f>$I$61&amp;"."&amp;$M$61</f>
        <v>.</v>
      </c>
      <c r="AP61" s="1176" t="str">
        <f>$I$61&amp;"."&amp;$M$61&amp;"."&amp;$Q$61</f>
        <v>..</v>
      </c>
      <c r="AQ61" s="1176" t="str">
        <f>$I$61&amp;"."&amp;$M$61&amp;"."&amp;$Q$61&amp;"."&amp;$U$61</f>
        <v>...</v>
      </c>
      <c r="AR61" s="1200">
        <v>0</v>
      </c>
    </row>
    <row r="62" spans="1:44" s="2028" customFormat="1" ht="17.25" customHeight="1">
      <c r="A62" s="256"/>
      <c r="C62" s="255"/>
      <c r="D62" s="3087"/>
      <c r="E62" s="3094"/>
      <c r="F62" s="3097"/>
      <c r="G62" s="3094"/>
      <c r="H62" s="3100"/>
      <c r="I62" s="3102"/>
      <c r="J62" s="3104"/>
      <c r="K62" s="3089"/>
      <c r="L62" s="3089"/>
      <c r="M62" s="3089"/>
      <c r="N62" s="3091"/>
      <c r="O62" s="3089"/>
      <c r="P62" s="3089"/>
      <c r="Q62" s="3089"/>
      <c r="R62" s="3092"/>
      <c r="S62" s="3089"/>
      <c r="T62" s="1214"/>
      <c r="U62" s="1214"/>
      <c r="V62" s="1214"/>
      <c r="W62" s="1215"/>
      <c r="X62" s="1176"/>
      <c r="Y62" s="1176"/>
      <c r="Z62" s="1176"/>
      <c r="AA62" s="1176"/>
      <c r="AB62" s="1176"/>
      <c r="AC62" s="1176"/>
      <c r="AD62" s="1176"/>
      <c r="AE62" s="1176"/>
      <c r="AF62" s="1176"/>
      <c r="AG62" s="1176"/>
      <c r="AH62" s="1176"/>
      <c r="AI62" s="1176"/>
      <c r="AJ62" s="1176"/>
      <c r="AK62" s="1176"/>
      <c r="AL62" s="1176"/>
      <c r="AM62" s="1176"/>
      <c r="AN62" s="1176"/>
      <c r="AO62" s="1176"/>
      <c r="AP62" s="1176"/>
      <c r="AQ62" s="1176"/>
      <c r="AR62" s="1200">
        <v>0</v>
      </c>
    </row>
    <row r="63" spans="1:44" s="2028" customFormat="1" ht="17.25" customHeight="1">
      <c r="A63" s="256"/>
      <c r="C63" s="255"/>
      <c r="D63" s="3075"/>
      <c r="E63" s="3095"/>
      <c r="F63" s="3097"/>
      <c r="G63" s="3095"/>
      <c r="H63" s="3100"/>
      <c r="I63" s="3102"/>
      <c r="J63" s="3105"/>
      <c r="K63" s="3089"/>
      <c r="L63" s="3089"/>
      <c r="M63" s="3089"/>
      <c r="N63" s="3092"/>
      <c r="O63" s="3089"/>
      <c r="P63" s="1335"/>
      <c r="Q63" s="1214"/>
      <c r="R63" s="1214"/>
      <c r="S63" s="264"/>
      <c r="T63" s="264"/>
      <c r="U63" s="264"/>
      <c r="V63" s="264"/>
      <c r="W63" s="1215"/>
      <c r="X63" s="1176"/>
      <c r="Y63" s="1176"/>
      <c r="Z63" s="1176"/>
      <c r="AA63" s="1176"/>
      <c r="AB63" s="1176"/>
      <c r="AC63" s="1176"/>
      <c r="AD63" s="1176"/>
      <c r="AE63" s="1176"/>
      <c r="AF63" s="1176"/>
      <c r="AG63" s="1176"/>
      <c r="AH63" s="1176"/>
      <c r="AI63" s="1176"/>
      <c r="AJ63" s="1176"/>
      <c r="AK63" s="1176"/>
      <c r="AL63" s="1176"/>
      <c r="AM63" s="1176"/>
      <c r="AN63" s="1176"/>
      <c r="AO63" s="1176"/>
      <c r="AP63" s="1176"/>
      <c r="AQ63" s="1176"/>
      <c r="AR63" s="1200">
        <v>0</v>
      </c>
    </row>
    <row r="64" spans="1:44" s="2028" customFormat="1" ht="17.25" customHeight="1">
      <c r="A64" s="256"/>
      <c r="C64" s="144"/>
      <c r="D64" s="3075"/>
      <c r="E64" s="3095"/>
      <c r="F64" s="3097"/>
      <c r="G64" s="3095"/>
      <c r="H64" s="3100"/>
      <c r="I64" s="3102"/>
      <c r="J64" s="3105"/>
      <c r="K64" s="3089"/>
      <c r="L64" s="1214"/>
      <c r="M64" s="1214"/>
      <c r="N64" s="1214"/>
      <c r="O64" s="1214"/>
      <c r="P64" s="1214"/>
      <c r="Q64" s="1214"/>
      <c r="R64" s="1214"/>
      <c r="S64" s="264"/>
      <c r="T64" s="264"/>
      <c r="U64" s="264"/>
      <c r="V64" s="264"/>
      <c r="W64" s="1215"/>
      <c r="Y64" s="1184"/>
      <c r="Z64" s="1184"/>
      <c r="AA64" s="1184"/>
      <c r="AB64" s="1184"/>
      <c r="AC64" s="1184"/>
      <c r="AD64" s="1184"/>
      <c r="AE64" s="1184"/>
      <c r="AF64" s="1184"/>
      <c r="AG64" s="1184"/>
      <c r="AH64" s="1184"/>
      <c r="AI64" s="1184"/>
      <c r="AJ64" s="1184"/>
      <c r="AK64" s="1184"/>
      <c r="AL64" s="1184"/>
      <c r="AM64" s="1184"/>
      <c r="AN64" s="1184"/>
      <c r="AO64" s="1184"/>
      <c r="AP64" s="1184"/>
      <c r="AQ64" s="1184"/>
      <c r="AR64" s="1243">
        <v>0</v>
      </c>
    </row>
    <row r="65" spans="1:44" s="2028" customFormat="1" ht="17.25" customHeight="1">
      <c r="A65" s="256"/>
      <c r="C65" s="255"/>
      <c r="D65" s="3075"/>
      <c r="E65" s="3095"/>
      <c r="F65" s="3098"/>
      <c r="G65" s="3095"/>
      <c r="H65" s="1216"/>
      <c r="I65" s="1217"/>
      <c r="J65" s="1217"/>
      <c r="K65" s="1217"/>
      <c r="L65" s="1217"/>
      <c r="M65" s="1217"/>
      <c r="N65" s="1217"/>
      <c r="O65" s="1217"/>
      <c r="P65" s="1217"/>
      <c r="Q65" s="1217"/>
      <c r="R65" s="1217"/>
      <c r="S65" s="1218"/>
      <c r="T65" s="1218"/>
      <c r="U65" s="1218"/>
      <c r="V65" s="1218"/>
      <c r="W65" s="1219"/>
      <c r="X65" s="1176"/>
      <c r="Y65" s="1176"/>
      <c r="Z65" s="1176"/>
      <c r="AA65" s="1176"/>
      <c r="AB65" s="1176"/>
      <c r="AC65" s="1176"/>
      <c r="AD65" s="1176"/>
      <c r="AE65" s="1176"/>
      <c r="AF65" s="1176"/>
      <c r="AG65" s="1176"/>
      <c r="AH65" s="1176"/>
      <c r="AI65" s="1176"/>
      <c r="AJ65" s="1176"/>
      <c r="AK65" s="1176"/>
      <c r="AL65" s="1176"/>
      <c r="AM65" s="1176"/>
      <c r="AN65" s="1176"/>
      <c r="AO65" s="1176"/>
      <c r="AP65" s="1176"/>
      <c r="AQ65" s="1176"/>
      <c r="AR65" s="1200">
        <v>0</v>
      </c>
    </row>
    <row r="66" spans="1:44" s="2028" customFormat="1" ht="17.25" customHeight="1">
      <c r="A66" s="256"/>
      <c r="C66" s="144"/>
      <c r="D66" s="3121">
        <v>7</v>
      </c>
      <c r="E66" s="3124" t="s">
        <v>227</v>
      </c>
      <c r="F66" s="3096" t="s">
        <v>19</v>
      </c>
      <c r="G66" s="3124"/>
      <c r="H66" s="3099"/>
      <c r="I66" s="3101"/>
      <c r="J66" s="3103"/>
      <c r="K66" s="3088"/>
      <c r="L66" s="3088"/>
      <c r="M66" s="3088"/>
      <c r="N66" s="3090"/>
      <c r="O66" s="3088"/>
      <c r="P66" s="3088"/>
      <c r="Q66" s="3088"/>
      <c r="R66" s="3093"/>
      <c r="S66" s="3088"/>
      <c r="T66" s="1337"/>
      <c r="U66" s="1337"/>
      <c r="V66" s="1336"/>
      <c r="W66" s="1213"/>
      <c r="X66" s="1184"/>
      <c r="Y66" s="1184"/>
      <c r="Z66" s="1184"/>
      <c r="AA66" s="1184"/>
      <c r="AB66" s="1184"/>
      <c r="AC66" s="1184" t="s">
        <v>228</v>
      </c>
      <c r="AD66" s="1184" t="s">
        <v>229</v>
      </c>
      <c r="AE66" s="1184" t="s">
        <v>230</v>
      </c>
      <c r="AF66" s="1184" t="s">
        <v>231</v>
      </c>
      <c r="AG66" s="1184" t="s">
        <v>232</v>
      </c>
      <c r="AH66" s="1184" t="str">
        <f>IF($E$66=0,"",$E$66)</f>
        <v>Плата за услуги по поддержанию резервной тепловой мощности при отсутствии потребления тепловой энергии</v>
      </c>
      <c r="AI66" s="1184" t="str">
        <f>IF($G$66=0,"",$G$66)</f>
        <v/>
      </c>
      <c r="AJ66" s="1184" t="str">
        <f>IF($J$66=0,"",$J$66)</f>
        <v/>
      </c>
      <c r="AK66" s="1184" t="str">
        <f>IF($K$66="нет","без дифференциации",IF($N$66=0,"",$N$66))</f>
        <v/>
      </c>
      <c r="AL66" s="1184" t="str">
        <f>IF($O$66="нет","без дифференциации",IF($R$66=0,"",$R$66))</f>
        <v/>
      </c>
      <c r="AM66" s="1184" t="str">
        <f>IF($S$66="нет","без дифференциации",IF($V$66=0,"",$V$66))</f>
        <v/>
      </c>
      <c r="AN66" s="1688">
        <f>$I$66</f>
        <v>0</v>
      </c>
      <c r="AO66" s="1184" t="str">
        <f>$I$66&amp;"."&amp;$M$66</f>
        <v>.</v>
      </c>
      <c r="AP66" s="1176" t="str">
        <f>$I$66&amp;"."&amp;$M$66&amp;"."&amp;$Q$66</f>
        <v>..</v>
      </c>
      <c r="AQ66" s="1176" t="str">
        <f>$I$66&amp;"."&amp;$M$66&amp;"."&amp;$Q$66&amp;"."&amp;$U$66</f>
        <v>...</v>
      </c>
      <c r="AR66" s="1225">
        <v>0</v>
      </c>
    </row>
    <row r="67" spans="1:44" s="2028" customFormat="1" ht="17.25" customHeight="1">
      <c r="A67" s="256"/>
      <c r="C67" s="255"/>
      <c r="D67" s="3122"/>
      <c r="E67" s="3125"/>
      <c r="F67" s="3097"/>
      <c r="G67" s="3125"/>
      <c r="H67" s="3100"/>
      <c r="I67" s="3102"/>
      <c r="J67" s="3104"/>
      <c r="K67" s="3089"/>
      <c r="L67" s="3089"/>
      <c r="M67" s="3089"/>
      <c r="N67" s="3091"/>
      <c r="O67" s="3089"/>
      <c r="P67" s="3089"/>
      <c r="Q67" s="3089"/>
      <c r="R67" s="3092"/>
      <c r="S67" s="3089"/>
      <c r="T67" s="1214"/>
      <c r="U67" s="1214"/>
      <c r="V67" s="1214"/>
      <c r="W67" s="1215"/>
      <c r="X67" s="1176"/>
      <c r="Y67" s="1176"/>
      <c r="Z67" s="1176"/>
      <c r="AA67" s="1176"/>
      <c r="AB67" s="1176"/>
      <c r="AC67" s="1176"/>
      <c r="AD67" s="1176"/>
      <c r="AE67" s="1176"/>
      <c r="AF67" s="1176"/>
      <c r="AG67" s="1176"/>
      <c r="AH67" s="1176"/>
      <c r="AI67" s="1176"/>
      <c r="AJ67" s="1176"/>
      <c r="AK67" s="1176"/>
      <c r="AL67" s="1176"/>
      <c r="AM67" s="1176"/>
      <c r="AN67" s="1176"/>
      <c r="AO67" s="1176"/>
      <c r="AP67" s="1176"/>
      <c r="AQ67" s="1176"/>
      <c r="AR67" s="1225">
        <v>0</v>
      </c>
    </row>
    <row r="68" spans="1:44" s="2028" customFormat="1" ht="17.25" customHeight="1">
      <c r="A68" s="256"/>
      <c r="C68" s="255"/>
      <c r="D68" s="3122"/>
      <c r="E68" s="3125"/>
      <c r="F68" s="3097"/>
      <c r="G68" s="3125"/>
      <c r="H68" s="3100"/>
      <c r="I68" s="3102"/>
      <c r="J68" s="3105"/>
      <c r="K68" s="3089"/>
      <c r="L68" s="3089"/>
      <c r="M68" s="3089"/>
      <c r="N68" s="3092"/>
      <c r="O68" s="3089"/>
      <c r="P68" s="1335"/>
      <c r="Q68" s="1214"/>
      <c r="R68" s="1214"/>
      <c r="S68" s="264"/>
      <c r="T68" s="264"/>
      <c r="U68" s="264"/>
      <c r="V68" s="264"/>
      <c r="W68" s="1215"/>
      <c r="X68" s="1176"/>
      <c r="Y68" s="1176"/>
      <c r="Z68" s="1176"/>
      <c r="AA68" s="1176"/>
      <c r="AB68" s="1176"/>
      <c r="AC68" s="1176"/>
      <c r="AD68" s="1176"/>
      <c r="AE68" s="1176"/>
      <c r="AF68" s="1176"/>
      <c r="AG68" s="1176"/>
      <c r="AH68" s="1176"/>
      <c r="AI68" s="1176"/>
      <c r="AJ68" s="1176"/>
      <c r="AK68" s="1176"/>
      <c r="AL68" s="1176"/>
      <c r="AM68" s="1176"/>
      <c r="AN68" s="1176"/>
      <c r="AO68" s="1176"/>
      <c r="AP68" s="1176"/>
      <c r="AQ68" s="1176"/>
      <c r="AR68" s="1225">
        <v>0</v>
      </c>
    </row>
    <row r="69" spans="1:44" s="2028" customFormat="1" ht="17.25" customHeight="1">
      <c r="A69" s="256"/>
      <c r="C69" s="144"/>
      <c r="D69" s="3122"/>
      <c r="E69" s="3125"/>
      <c r="F69" s="3097"/>
      <c r="G69" s="3125"/>
      <c r="H69" s="3100"/>
      <c r="I69" s="3102"/>
      <c r="J69" s="3105"/>
      <c r="K69" s="3089"/>
      <c r="L69" s="1214"/>
      <c r="M69" s="1214"/>
      <c r="N69" s="1214"/>
      <c r="O69" s="1214"/>
      <c r="P69" s="1214"/>
      <c r="Q69" s="1214"/>
      <c r="R69" s="1214"/>
      <c r="S69" s="264"/>
      <c r="T69" s="264"/>
      <c r="U69" s="264"/>
      <c r="V69" s="264"/>
      <c r="W69" s="1215"/>
      <c r="Y69" s="1184"/>
      <c r="Z69" s="1184"/>
      <c r="AA69" s="1184"/>
      <c r="AB69" s="1184"/>
      <c r="AC69" s="1184"/>
      <c r="AD69" s="1184"/>
      <c r="AE69" s="1184"/>
      <c r="AF69" s="1184"/>
      <c r="AG69" s="1184"/>
      <c r="AH69" s="1184"/>
      <c r="AI69" s="1184"/>
      <c r="AJ69" s="1184"/>
      <c r="AK69" s="1184"/>
      <c r="AL69" s="1184"/>
      <c r="AM69" s="1184"/>
      <c r="AN69" s="1184"/>
      <c r="AO69" s="1184"/>
      <c r="AP69" s="1184"/>
      <c r="AQ69" s="1184"/>
      <c r="AR69" s="1243">
        <v>0</v>
      </c>
    </row>
    <row r="70" spans="1:44" s="2028" customFormat="1" ht="17.25" customHeight="1">
      <c r="A70" s="256"/>
      <c r="C70" s="255"/>
      <c r="D70" s="3123"/>
      <c r="E70" s="3126"/>
      <c r="F70" s="3098"/>
      <c r="G70" s="3126"/>
      <c r="H70" s="1216"/>
      <c r="I70" s="1217"/>
      <c r="J70" s="1217"/>
      <c r="K70" s="1217"/>
      <c r="L70" s="1217"/>
      <c r="M70" s="1217"/>
      <c r="N70" s="1217"/>
      <c r="O70" s="1217"/>
      <c r="P70" s="1217"/>
      <c r="Q70" s="1217"/>
      <c r="R70" s="1217"/>
      <c r="S70" s="1218"/>
      <c r="T70" s="1218"/>
      <c r="U70" s="1218"/>
      <c r="V70" s="1218"/>
      <c r="W70" s="1219"/>
      <c r="X70" s="1176"/>
      <c r="Y70" s="1176"/>
      <c r="Z70" s="1176"/>
      <c r="AA70" s="1176"/>
      <c r="AB70" s="1176"/>
      <c r="AC70" s="1176"/>
      <c r="AD70" s="1176"/>
      <c r="AE70" s="1176"/>
      <c r="AF70" s="1176"/>
      <c r="AG70" s="1176"/>
      <c r="AH70" s="1176"/>
      <c r="AI70" s="1176"/>
      <c r="AJ70" s="1176"/>
      <c r="AK70" s="1176"/>
      <c r="AL70" s="1176"/>
      <c r="AM70" s="1176"/>
      <c r="AN70" s="1176"/>
      <c r="AO70" s="1176"/>
      <c r="AP70" s="1176"/>
      <c r="AQ70" s="1176"/>
      <c r="AR70" s="1225">
        <v>0</v>
      </c>
    </row>
    <row r="71" spans="1:44" s="2028" customFormat="1" ht="17.25" customHeight="1">
      <c r="A71" s="256"/>
      <c r="C71" s="144"/>
      <c r="D71" s="3087">
        <v>8</v>
      </c>
      <c r="E71" s="3094" t="s">
        <v>233</v>
      </c>
      <c r="F71" s="3096" t="s">
        <v>19</v>
      </c>
      <c r="G71" s="3094"/>
      <c r="H71" s="3099"/>
      <c r="I71" s="3101"/>
      <c r="J71" s="3103"/>
      <c r="K71" s="3088"/>
      <c r="L71" s="3088"/>
      <c r="M71" s="3088"/>
      <c r="N71" s="3090"/>
      <c r="O71" s="3088"/>
      <c r="P71" s="3088"/>
      <c r="Q71" s="3088"/>
      <c r="R71" s="3093"/>
      <c r="S71" s="3088"/>
      <c r="T71" s="1387"/>
      <c r="U71" s="1387"/>
      <c r="V71" s="1389"/>
      <c r="W71" s="1213"/>
      <c r="X71" s="1184"/>
      <c r="Y71" s="1184"/>
      <c r="Z71" s="1184"/>
      <c r="AA71" s="1184"/>
      <c r="AB71" s="1184"/>
      <c r="AC71" s="1184" t="s">
        <v>234</v>
      </c>
      <c r="AD71" s="1184" t="s">
        <v>235</v>
      </c>
      <c r="AE71" s="1184" t="s">
        <v>236</v>
      </c>
      <c r="AF71" s="1184" t="s">
        <v>237</v>
      </c>
      <c r="AG71" s="1184" t="s">
        <v>238</v>
      </c>
      <c r="AH71" s="1184" t="str">
        <f>IF($E$71=0,"",$E$71)</f>
        <v>Плата за подключение (технологическое присоединение) к системе теплоснабжения</v>
      </c>
      <c r="AI71" s="1184" t="str">
        <f>IF($G$71=0,"",$G$71)</f>
        <v/>
      </c>
      <c r="AJ71" s="1184" t="str">
        <f>IF($J$71=0,"",$J$71)</f>
        <v/>
      </c>
      <c r="AK71" s="1184" t="str">
        <f>IF($K$71="нет","без дифференциации",IF($N$71=0,"",$N$71))</f>
        <v/>
      </c>
      <c r="AL71" s="1184" t="str">
        <f>IF($O$71="нет","без дифференциации",IF($R$71=0,"",$R$71))</f>
        <v/>
      </c>
      <c r="AM71" s="1184" t="str">
        <f>IF($S$71="нет","без дифференциации",IF($V$71=0,"",$V$71))</f>
        <v/>
      </c>
      <c r="AN71" s="1688">
        <f>$I$71</f>
        <v>0</v>
      </c>
      <c r="AO71" s="1184" t="str">
        <f>$I$71&amp;"."&amp;$M$71</f>
        <v>.</v>
      </c>
      <c r="AP71" s="1176" t="str">
        <f>$I$71&amp;"."&amp;$M$71&amp;"."&amp;$Q$71</f>
        <v>..</v>
      </c>
      <c r="AQ71" s="1176" t="str">
        <f>$I$71&amp;"."&amp;$M$71&amp;"."&amp;$Q$71&amp;"."&amp;$U$71</f>
        <v>...</v>
      </c>
      <c r="AR71" s="1225">
        <v>0</v>
      </c>
    </row>
    <row r="72" spans="1:44" s="2028" customFormat="1" ht="17.25" customHeight="1">
      <c r="A72" s="256"/>
      <c r="C72" s="255"/>
      <c r="D72" s="3087"/>
      <c r="E72" s="3094"/>
      <c r="F72" s="3097"/>
      <c r="G72" s="3094"/>
      <c r="H72" s="3100"/>
      <c r="I72" s="3102"/>
      <c r="J72" s="3104"/>
      <c r="K72" s="3089"/>
      <c r="L72" s="3089"/>
      <c r="M72" s="3089"/>
      <c r="N72" s="3091"/>
      <c r="O72" s="3089"/>
      <c r="P72" s="3089"/>
      <c r="Q72" s="3089"/>
      <c r="R72" s="3092"/>
      <c r="S72" s="3089"/>
      <c r="T72" s="1214"/>
      <c r="U72" s="1214"/>
      <c r="V72" s="1214"/>
      <c r="W72" s="1215"/>
      <c r="X72" s="1176"/>
      <c r="Y72" s="1176"/>
      <c r="Z72" s="1176"/>
      <c r="AA72" s="1176"/>
      <c r="AB72" s="1176"/>
      <c r="AC72" s="1176"/>
      <c r="AD72" s="1176"/>
      <c r="AE72" s="1176"/>
      <c r="AF72" s="1176"/>
      <c r="AG72" s="1176"/>
      <c r="AH72" s="1176"/>
      <c r="AI72" s="1176"/>
      <c r="AJ72" s="1176"/>
      <c r="AK72" s="1176"/>
      <c r="AL72" s="1176"/>
      <c r="AM72" s="1176"/>
      <c r="AN72" s="1176"/>
      <c r="AO72" s="1176"/>
      <c r="AP72" s="1176"/>
      <c r="AQ72" s="1176"/>
      <c r="AR72" s="1225">
        <v>0</v>
      </c>
    </row>
    <row r="73" spans="1:44" s="2028" customFormat="1" ht="17.25" customHeight="1">
      <c r="A73" s="256"/>
      <c r="C73" s="255"/>
      <c r="D73" s="3075"/>
      <c r="E73" s="3095"/>
      <c r="F73" s="3097"/>
      <c r="G73" s="3095"/>
      <c r="H73" s="3100"/>
      <c r="I73" s="3102"/>
      <c r="J73" s="3105"/>
      <c r="K73" s="3089"/>
      <c r="L73" s="3089"/>
      <c r="M73" s="3089"/>
      <c r="N73" s="3092"/>
      <c r="O73" s="3089"/>
      <c r="P73" s="1388"/>
      <c r="Q73" s="1214"/>
      <c r="R73" s="1214"/>
      <c r="S73" s="264"/>
      <c r="T73" s="264"/>
      <c r="U73" s="264"/>
      <c r="V73" s="264"/>
      <c r="W73" s="1215"/>
      <c r="X73" s="1176"/>
      <c r="Y73" s="1176"/>
      <c r="Z73" s="1176"/>
      <c r="AA73" s="1176"/>
      <c r="AB73" s="1176"/>
      <c r="AC73" s="1176"/>
      <c r="AD73" s="1176"/>
      <c r="AE73" s="1176"/>
      <c r="AF73" s="1176"/>
      <c r="AG73" s="1176"/>
      <c r="AH73" s="1176"/>
      <c r="AI73" s="1176"/>
      <c r="AJ73" s="1176"/>
      <c r="AK73" s="1176"/>
      <c r="AL73" s="1176"/>
      <c r="AM73" s="1176"/>
      <c r="AN73" s="1176"/>
      <c r="AO73" s="1176"/>
      <c r="AP73" s="1176"/>
      <c r="AQ73" s="1176"/>
      <c r="AR73" s="1225">
        <v>0</v>
      </c>
    </row>
    <row r="74" spans="1:44" s="2028" customFormat="1" ht="17.25" customHeight="1">
      <c r="A74" s="256"/>
      <c r="C74" s="144"/>
      <c r="D74" s="3075"/>
      <c r="E74" s="3095"/>
      <c r="F74" s="3097"/>
      <c r="G74" s="3095"/>
      <c r="H74" s="3100"/>
      <c r="I74" s="3102"/>
      <c r="J74" s="3105"/>
      <c r="K74" s="3089"/>
      <c r="L74" s="1214"/>
      <c r="M74" s="1214"/>
      <c r="N74" s="1214"/>
      <c r="O74" s="1214"/>
      <c r="P74" s="1214"/>
      <c r="Q74" s="1214"/>
      <c r="R74" s="1214"/>
      <c r="S74" s="264"/>
      <c r="T74" s="264"/>
      <c r="U74" s="264"/>
      <c r="V74" s="264"/>
      <c r="W74" s="1215"/>
      <c r="Y74" s="1184"/>
      <c r="Z74" s="1184"/>
      <c r="AA74" s="1184"/>
      <c r="AB74" s="1184"/>
      <c r="AC74" s="1184"/>
      <c r="AD74" s="1184"/>
      <c r="AE74" s="1184"/>
      <c r="AF74" s="1184"/>
      <c r="AG74" s="1184"/>
      <c r="AH74" s="1184"/>
      <c r="AI74" s="1184"/>
      <c r="AJ74" s="1184"/>
      <c r="AK74" s="1184"/>
      <c r="AL74" s="1184"/>
      <c r="AM74" s="1184"/>
      <c r="AN74" s="1184"/>
      <c r="AO74" s="1184"/>
      <c r="AP74" s="1184"/>
      <c r="AQ74" s="1184"/>
      <c r="AR74" s="1243">
        <v>0</v>
      </c>
    </row>
    <row r="75" spans="1:44" s="2028" customFormat="1" ht="17.25" customHeight="1">
      <c r="A75" s="256"/>
      <c r="C75" s="255"/>
      <c r="D75" s="3075"/>
      <c r="E75" s="3095"/>
      <c r="F75" s="3098"/>
      <c r="G75" s="3095"/>
      <c r="H75" s="1216"/>
      <c r="I75" s="1217"/>
      <c r="J75" s="1217"/>
      <c r="K75" s="1217"/>
      <c r="L75" s="1217"/>
      <c r="M75" s="1217"/>
      <c r="N75" s="1217"/>
      <c r="O75" s="1217"/>
      <c r="P75" s="1217"/>
      <c r="Q75" s="1217"/>
      <c r="R75" s="1217"/>
      <c r="S75" s="1218"/>
      <c r="T75" s="1218"/>
      <c r="U75" s="1218"/>
      <c r="V75" s="1218"/>
      <c r="W75" s="1219"/>
      <c r="X75" s="1176"/>
      <c r="Y75" s="1176"/>
      <c r="Z75" s="1176"/>
      <c r="AA75" s="1176"/>
      <c r="AB75" s="1176"/>
      <c r="AC75" s="1176"/>
      <c r="AD75" s="1176"/>
      <c r="AE75" s="1176"/>
      <c r="AF75" s="1176"/>
      <c r="AG75" s="1176"/>
      <c r="AH75" s="1176"/>
      <c r="AI75" s="1176"/>
      <c r="AJ75" s="1176"/>
      <c r="AK75" s="1176"/>
      <c r="AL75" s="1176"/>
      <c r="AM75" s="1176"/>
      <c r="AN75" s="1176"/>
      <c r="AO75" s="1176"/>
      <c r="AP75" s="1176"/>
      <c r="AQ75" s="1176"/>
      <c r="AR75" s="1225">
        <v>0</v>
      </c>
    </row>
    <row r="76" spans="1:44" s="2028" customFormat="1" ht="17.25" customHeight="1">
      <c r="A76" s="256"/>
      <c r="C76" s="144"/>
      <c r="D76" s="3087">
        <v>9</v>
      </c>
      <c r="E76" s="3094" t="s">
        <v>239</v>
      </c>
      <c r="F76" s="3096" t="s">
        <v>19</v>
      </c>
      <c r="G76" s="3094"/>
      <c r="H76" s="3099"/>
      <c r="I76" s="3101"/>
      <c r="J76" s="3103"/>
      <c r="K76" s="3088"/>
      <c r="L76" s="3088"/>
      <c r="M76" s="3088"/>
      <c r="N76" s="3090"/>
      <c r="O76" s="3088"/>
      <c r="P76" s="3088"/>
      <c r="Q76" s="3088"/>
      <c r="R76" s="3093"/>
      <c r="S76" s="3088"/>
      <c r="T76" s="1842"/>
      <c r="U76" s="1842"/>
      <c r="V76" s="1844"/>
      <c r="W76" s="1213"/>
      <c r="X76" s="1184"/>
      <c r="Y76" s="1184"/>
      <c r="Z76" s="1184"/>
      <c r="AA76" s="1184"/>
      <c r="AB76" s="1184"/>
      <c r="AC76" s="1184" t="s">
        <v>240</v>
      </c>
      <c r="AD76" s="1184" t="s">
        <v>241</v>
      </c>
      <c r="AE76" s="1184" t="s">
        <v>242</v>
      </c>
      <c r="AF76" s="1184" t="s">
        <v>243</v>
      </c>
      <c r="AG76" s="1184" t="s">
        <v>244</v>
      </c>
      <c r="AH76" s="1184" t="str">
        <f>IF($E$76=0,"",$E$76)</f>
        <v>Плата за подключение (технологическое присоединение) к системе теплоснабжения (индивидуальная)</v>
      </c>
      <c r="AI76" s="1184" t="str">
        <f>IF($G$76=0,"",$G$76)</f>
        <v/>
      </c>
      <c r="AJ76" s="1184" t="str">
        <f>IF($J$76=0,"",$J$76)</f>
        <v/>
      </c>
      <c r="AK76" s="1184" t="str">
        <f>IF($K$76="нет","без дифференциации",IF($N$76=0,"",$N$76))</f>
        <v/>
      </c>
      <c r="AL76" s="1184" t="str">
        <f>IF($O$76="нет","без дифференциации",IF($R$76=0,"",$R$76))</f>
        <v/>
      </c>
      <c r="AM76" s="1184" t="str">
        <f>IF($S$76="нет","без дифференциации",IF($V$76=0,"",$V$76))</f>
        <v/>
      </c>
      <c r="AN76" s="1688">
        <f>$I$76</f>
        <v>0</v>
      </c>
      <c r="AO76" s="1184" t="str">
        <f>$I$76&amp;"."&amp;$M$76</f>
        <v>.</v>
      </c>
      <c r="AP76" s="1183" t="str">
        <f>$I$76&amp;"."&amp;$M$76&amp;"."&amp;$Q$76</f>
        <v>..</v>
      </c>
      <c r="AQ76" s="1183" t="str">
        <f>$I$76&amp;"."&amp;$M$76&amp;"."&amp;$Q$76&amp;"."&amp;$U$76</f>
        <v>...</v>
      </c>
      <c r="AR76" s="1384">
        <v>0</v>
      </c>
    </row>
    <row r="77" spans="1:44" s="2028" customFormat="1" ht="17.25" customHeight="1">
      <c r="A77" s="256"/>
      <c r="C77" s="255"/>
      <c r="D77" s="3087"/>
      <c r="E77" s="3094"/>
      <c r="F77" s="3097"/>
      <c r="G77" s="3094"/>
      <c r="H77" s="3100"/>
      <c r="I77" s="3102"/>
      <c r="J77" s="3104"/>
      <c r="K77" s="3089"/>
      <c r="L77" s="3089"/>
      <c r="M77" s="3089"/>
      <c r="N77" s="3091"/>
      <c r="O77" s="3089"/>
      <c r="P77" s="3089"/>
      <c r="Q77" s="3089"/>
      <c r="R77" s="3092"/>
      <c r="S77" s="3089"/>
      <c r="T77" s="1845"/>
      <c r="U77" s="1845"/>
      <c r="V77" s="1845"/>
      <c r="W77" s="1846"/>
      <c r="X77" s="1183"/>
      <c r="Y77" s="1183"/>
      <c r="Z77" s="1183"/>
      <c r="AA77" s="1183"/>
      <c r="AB77" s="1183"/>
      <c r="AC77" s="1183"/>
      <c r="AD77" s="1183"/>
      <c r="AE77" s="1183"/>
      <c r="AF77" s="1183"/>
      <c r="AG77" s="1183"/>
      <c r="AH77" s="1183"/>
      <c r="AI77" s="1183"/>
      <c r="AJ77" s="1183"/>
      <c r="AK77" s="1183"/>
      <c r="AL77" s="1183"/>
      <c r="AM77" s="1183"/>
      <c r="AN77" s="1183"/>
      <c r="AO77" s="1183"/>
      <c r="AP77" s="1183"/>
      <c r="AQ77" s="1183"/>
      <c r="AR77" s="1384">
        <v>0</v>
      </c>
    </row>
    <row r="78" spans="1:44" s="2028" customFormat="1" ht="17.25" customHeight="1">
      <c r="A78" s="256"/>
      <c r="C78" s="255"/>
      <c r="D78" s="3075"/>
      <c r="E78" s="3095"/>
      <c r="F78" s="3097"/>
      <c r="G78" s="3095"/>
      <c r="H78" s="3100"/>
      <c r="I78" s="3102"/>
      <c r="J78" s="3105"/>
      <c r="K78" s="3089"/>
      <c r="L78" s="3089"/>
      <c r="M78" s="3089"/>
      <c r="N78" s="3092"/>
      <c r="O78" s="3089"/>
      <c r="P78" s="1843"/>
      <c r="Q78" s="1845"/>
      <c r="R78" s="1845"/>
      <c r="S78" s="264"/>
      <c r="T78" s="264"/>
      <c r="U78" s="264"/>
      <c r="V78" s="264"/>
      <c r="W78" s="1846"/>
      <c r="X78" s="1183"/>
      <c r="Y78" s="1183"/>
      <c r="Z78" s="1183"/>
      <c r="AA78" s="1183"/>
      <c r="AB78" s="1183"/>
      <c r="AC78" s="1183"/>
      <c r="AD78" s="1183"/>
      <c r="AE78" s="1183"/>
      <c r="AF78" s="1183"/>
      <c r="AG78" s="1183"/>
      <c r="AH78" s="1183"/>
      <c r="AI78" s="1183"/>
      <c r="AJ78" s="1183"/>
      <c r="AK78" s="1183"/>
      <c r="AL78" s="1183"/>
      <c r="AM78" s="1183"/>
      <c r="AN78" s="1183"/>
      <c r="AO78" s="1183"/>
      <c r="AP78" s="1183"/>
      <c r="AQ78" s="1183"/>
      <c r="AR78" s="1384">
        <v>0</v>
      </c>
    </row>
    <row r="79" spans="1:44" s="2028" customFormat="1" ht="17.25" customHeight="1">
      <c r="A79" s="256"/>
      <c r="C79" s="144"/>
      <c r="D79" s="3075"/>
      <c r="E79" s="3095"/>
      <c r="F79" s="3097"/>
      <c r="G79" s="3095"/>
      <c r="H79" s="3100"/>
      <c r="I79" s="3102"/>
      <c r="J79" s="3105"/>
      <c r="K79" s="3089"/>
      <c r="L79" s="1845"/>
      <c r="M79" s="1845"/>
      <c r="N79" s="1845"/>
      <c r="O79" s="1845"/>
      <c r="P79" s="1845"/>
      <c r="Q79" s="1845"/>
      <c r="R79" s="1845"/>
      <c r="S79" s="264"/>
      <c r="T79" s="264"/>
      <c r="U79" s="264"/>
      <c r="V79" s="264"/>
      <c r="W79" s="1846"/>
      <c r="Y79" s="1184"/>
      <c r="Z79" s="1184"/>
      <c r="AA79" s="1184"/>
      <c r="AB79" s="1184"/>
      <c r="AC79" s="1184"/>
      <c r="AD79" s="1184"/>
      <c r="AE79" s="1184"/>
      <c r="AF79" s="1184"/>
      <c r="AG79" s="1184"/>
      <c r="AH79" s="1184"/>
      <c r="AI79" s="1184"/>
      <c r="AJ79" s="1184"/>
      <c r="AK79" s="1184"/>
      <c r="AL79" s="1184"/>
      <c r="AM79" s="1184"/>
      <c r="AN79" s="1184"/>
      <c r="AO79" s="1184"/>
      <c r="AP79" s="1184"/>
      <c r="AQ79" s="1184"/>
      <c r="AR79" s="1384">
        <v>0</v>
      </c>
    </row>
    <row r="80" spans="1:44" s="2028" customFormat="1" ht="17.25" customHeight="1">
      <c r="A80" s="256"/>
      <c r="C80" s="255"/>
      <c r="D80" s="3075"/>
      <c r="E80" s="3095"/>
      <c r="F80" s="3098"/>
      <c r="G80" s="3095"/>
      <c r="H80" s="1216"/>
      <c r="I80" s="1847"/>
      <c r="J80" s="1847"/>
      <c r="K80" s="1847"/>
      <c r="L80" s="1847"/>
      <c r="M80" s="1847"/>
      <c r="N80" s="1847"/>
      <c r="O80" s="1847"/>
      <c r="P80" s="1847"/>
      <c r="Q80" s="1847"/>
      <c r="R80" s="1847"/>
      <c r="S80" s="1218"/>
      <c r="T80" s="1218"/>
      <c r="U80" s="1218"/>
      <c r="V80" s="1218"/>
      <c r="W80" s="1848"/>
      <c r="X80" s="1183"/>
      <c r="Y80" s="1183"/>
      <c r="Z80" s="1183"/>
      <c r="AA80" s="1183"/>
      <c r="AB80" s="1183"/>
      <c r="AC80" s="1183"/>
      <c r="AD80" s="1183"/>
      <c r="AE80" s="1183"/>
      <c r="AF80" s="1183"/>
      <c r="AG80" s="1183"/>
      <c r="AH80" s="1183"/>
      <c r="AI80" s="1183"/>
      <c r="AJ80" s="1183"/>
      <c r="AK80" s="1183"/>
      <c r="AL80" s="1183"/>
      <c r="AM80" s="1183"/>
      <c r="AN80" s="1183"/>
      <c r="AO80" s="1183"/>
      <c r="AP80" s="1183"/>
      <c r="AQ80" s="1183"/>
      <c r="AR80" s="1384">
        <v>0</v>
      </c>
    </row>
    <row r="81" spans="1:44" s="2028" customFormat="1" ht="17.25" hidden="1" customHeight="1">
      <c r="A81" s="256"/>
      <c r="C81" s="144"/>
      <c r="D81" s="3087">
        <v>10</v>
      </c>
      <c r="E81" s="3094" t="s">
        <v>245</v>
      </c>
      <c r="F81" s="3096" t="s">
        <v>19</v>
      </c>
      <c r="G81" s="3094"/>
      <c r="H81" s="3099"/>
      <c r="I81" s="3101"/>
      <c r="J81" s="3103"/>
      <c r="K81" s="3088"/>
      <c r="L81" s="3088"/>
      <c r="M81" s="3088"/>
      <c r="N81" s="3090"/>
      <c r="O81" s="3088"/>
      <c r="P81" s="3088"/>
      <c r="Q81" s="3088"/>
      <c r="R81" s="3093"/>
      <c r="S81" s="3088"/>
      <c r="T81" s="1842"/>
      <c r="U81" s="1842"/>
      <c r="V81" s="1844"/>
      <c r="W81" s="1213"/>
      <c r="X81" s="1184"/>
      <c r="Y81" s="1184"/>
      <c r="Z81" s="1184"/>
      <c r="AA81" s="1184"/>
      <c r="AB81" s="1184"/>
      <c r="AC81" s="1184" t="s">
        <v>246</v>
      </c>
      <c r="AD81" s="1184" t="s">
        <v>247</v>
      </c>
      <c r="AE81" s="1184" t="s">
        <v>248</v>
      </c>
      <c r="AF81" s="1184" t="s">
        <v>249</v>
      </c>
      <c r="AG81" s="1184" t="s">
        <v>250</v>
      </c>
      <c r="AH81" s="1184" t="str">
        <f>IF($E$81=0,"",$E$81)</f>
        <v>Предельный уровень цены на тепловую энергию (мощность), поставляемую теплоснабжающими организациями потребителям</v>
      </c>
      <c r="AI81" s="1184" t="str">
        <f>IF($G$81=0,"",$G$81)</f>
        <v/>
      </c>
      <c r="AJ81" s="1184" t="str">
        <f>IF($J$81=0,"",$J$81)</f>
        <v/>
      </c>
      <c r="AK81" s="1184" t="str">
        <f>IF($K$81="нет","без дифференциации",IF($N$81=0,"",$N$81))</f>
        <v/>
      </c>
      <c r="AL81" s="1184" t="str">
        <f>IF($O$81="нет","без дифференциации",IF($R$81=0,"",$R$81))</f>
        <v/>
      </c>
      <c r="AM81" s="1184" t="str">
        <f>IF($S$81="нет","без дифференциации",IF($V$81=0,"",$V$81))</f>
        <v/>
      </c>
      <c r="AN81" s="1688">
        <f>$I$81</f>
        <v>0</v>
      </c>
      <c r="AO81" s="1184" t="str">
        <f>$I$81&amp;"."&amp;$M$81</f>
        <v>.</v>
      </c>
      <c r="AP81" s="1183" t="str">
        <f>$I$81&amp;"."&amp;$M$81&amp;"."&amp;$Q$81</f>
        <v>..</v>
      </c>
      <c r="AQ81" s="1183" t="str">
        <f>$I$81&amp;"."&amp;$M$81&amp;"."&amp;$Q$81&amp;"."&amp;$U$81</f>
        <v>...</v>
      </c>
      <c r="AR81" s="1384">
        <v>0</v>
      </c>
    </row>
    <row r="82" spans="1:44" s="2028" customFormat="1" ht="17.25" hidden="1" customHeight="1">
      <c r="A82" s="256"/>
      <c r="C82" s="255"/>
      <c r="D82" s="3087"/>
      <c r="E82" s="3094"/>
      <c r="F82" s="3097"/>
      <c r="G82" s="3094"/>
      <c r="H82" s="3100"/>
      <c r="I82" s="3102"/>
      <c r="J82" s="3104"/>
      <c r="K82" s="3089"/>
      <c r="L82" s="3089"/>
      <c r="M82" s="3089"/>
      <c r="N82" s="3091"/>
      <c r="O82" s="3089"/>
      <c r="P82" s="3089"/>
      <c r="Q82" s="3089"/>
      <c r="R82" s="3092"/>
      <c r="S82" s="3089"/>
      <c r="T82" s="1845"/>
      <c r="U82" s="1845"/>
      <c r="V82" s="1845"/>
      <c r="W82" s="1846"/>
      <c r="X82" s="1183"/>
      <c r="Y82" s="1183"/>
      <c r="Z82" s="1183"/>
      <c r="AA82" s="1183"/>
      <c r="AB82" s="1183"/>
      <c r="AC82" s="1183"/>
      <c r="AD82" s="1183"/>
      <c r="AE82" s="1183"/>
      <c r="AF82" s="1183"/>
      <c r="AG82" s="1183"/>
      <c r="AH82" s="1183"/>
      <c r="AI82" s="1183"/>
      <c r="AJ82" s="1183"/>
      <c r="AK82" s="1183"/>
      <c r="AL82" s="1183"/>
      <c r="AM82" s="1183"/>
      <c r="AN82" s="1183"/>
      <c r="AO82" s="1183"/>
      <c r="AP82" s="1183"/>
      <c r="AQ82" s="1183"/>
      <c r="AR82" s="1384">
        <v>0</v>
      </c>
    </row>
    <row r="83" spans="1:44" s="2028" customFormat="1" ht="17.25" hidden="1" customHeight="1">
      <c r="A83" s="256"/>
      <c r="C83" s="255"/>
      <c r="D83" s="3075"/>
      <c r="E83" s="3095"/>
      <c r="F83" s="3097"/>
      <c r="G83" s="3095"/>
      <c r="H83" s="3100"/>
      <c r="I83" s="3102"/>
      <c r="J83" s="3105"/>
      <c r="K83" s="3089"/>
      <c r="L83" s="3089"/>
      <c r="M83" s="3089"/>
      <c r="N83" s="3092"/>
      <c r="O83" s="3089"/>
      <c r="P83" s="1843"/>
      <c r="Q83" s="1845"/>
      <c r="R83" s="1845"/>
      <c r="S83" s="264"/>
      <c r="T83" s="264"/>
      <c r="U83" s="264"/>
      <c r="V83" s="264"/>
      <c r="W83" s="1846"/>
      <c r="X83" s="1183"/>
      <c r="Y83" s="1183"/>
      <c r="Z83" s="1183"/>
      <c r="AA83" s="1183"/>
      <c r="AB83" s="1183"/>
      <c r="AC83" s="1183"/>
      <c r="AD83" s="1183"/>
      <c r="AE83" s="1183"/>
      <c r="AF83" s="1183"/>
      <c r="AG83" s="1183"/>
      <c r="AH83" s="1183"/>
      <c r="AI83" s="1183"/>
      <c r="AJ83" s="1183"/>
      <c r="AK83" s="1183"/>
      <c r="AL83" s="1183"/>
      <c r="AM83" s="1183"/>
      <c r="AN83" s="1183"/>
      <c r="AO83" s="1183"/>
      <c r="AP83" s="1183"/>
      <c r="AQ83" s="1183"/>
      <c r="AR83" s="1384">
        <v>0</v>
      </c>
    </row>
    <row r="84" spans="1:44" s="2028" customFormat="1" ht="17.25" hidden="1" customHeight="1">
      <c r="A84" s="256"/>
      <c r="C84" s="144"/>
      <c r="D84" s="3075"/>
      <c r="E84" s="3095"/>
      <c r="F84" s="3097"/>
      <c r="G84" s="3095"/>
      <c r="H84" s="3100"/>
      <c r="I84" s="3102"/>
      <c r="J84" s="3105"/>
      <c r="K84" s="3089"/>
      <c r="L84" s="1845"/>
      <c r="M84" s="1845"/>
      <c r="N84" s="1845"/>
      <c r="O84" s="1845"/>
      <c r="P84" s="1845"/>
      <c r="Q84" s="1845"/>
      <c r="R84" s="1845"/>
      <c r="S84" s="264"/>
      <c r="T84" s="264"/>
      <c r="U84" s="264"/>
      <c r="V84" s="264"/>
      <c r="W84" s="1846"/>
      <c r="Y84" s="1184"/>
      <c r="Z84" s="1184"/>
      <c r="AA84" s="1184"/>
      <c r="AB84" s="1184"/>
      <c r="AC84" s="1184"/>
      <c r="AD84" s="1184"/>
      <c r="AE84" s="1184"/>
      <c r="AF84" s="1184"/>
      <c r="AG84" s="1184"/>
      <c r="AH84" s="1184"/>
      <c r="AI84" s="1184"/>
      <c r="AJ84" s="1184"/>
      <c r="AK84" s="1184"/>
      <c r="AL84" s="1184"/>
      <c r="AM84" s="1184"/>
      <c r="AN84" s="1184"/>
      <c r="AO84" s="1184"/>
      <c r="AP84" s="1184"/>
      <c r="AQ84" s="1184"/>
      <c r="AR84" s="1384">
        <v>0</v>
      </c>
    </row>
    <row r="85" spans="1:44" s="2028" customFormat="1" ht="17.25" hidden="1" customHeight="1">
      <c r="A85" s="256"/>
      <c r="C85" s="255"/>
      <c r="D85" s="3075"/>
      <c r="E85" s="3095"/>
      <c r="F85" s="3098"/>
      <c r="G85" s="3095"/>
      <c r="H85" s="1216"/>
      <c r="I85" s="1847"/>
      <c r="J85" s="1847"/>
      <c r="K85" s="1847"/>
      <c r="L85" s="1847"/>
      <c r="M85" s="1847"/>
      <c r="N85" s="1847"/>
      <c r="O85" s="1847"/>
      <c r="P85" s="1847"/>
      <c r="Q85" s="1847"/>
      <c r="R85" s="1847"/>
      <c r="S85" s="1218"/>
      <c r="T85" s="1218"/>
      <c r="U85" s="1218"/>
      <c r="V85" s="1218"/>
      <c r="W85" s="1848"/>
      <c r="X85" s="1183"/>
      <c r="Y85" s="1183"/>
      <c r="Z85" s="1183"/>
      <c r="AA85" s="1183"/>
      <c r="AB85" s="1183"/>
      <c r="AC85" s="1183"/>
      <c r="AD85" s="1183"/>
      <c r="AE85" s="1183"/>
      <c r="AF85" s="1183"/>
      <c r="AG85" s="1183"/>
      <c r="AH85" s="1183"/>
      <c r="AI85" s="1183"/>
      <c r="AJ85" s="1183"/>
      <c r="AK85" s="1183"/>
      <c r="AL85" s="1183"/>
      <c r="AM85" s="1183"/>
      <c r="AN85" s="1183"/>
      <c r="AO85" s="1183"/>
      <c r="AP85" s="1183"/>
      <c r="AQ85" s="1183"/>
      <c r="AR85" s="1384">
        <v>0</v>
      </c>
    </row>
    <row r="86" spans="1:44" ht="11.25" customHeight="1">
      <c r="AR86" s="42">
        <v>0</v>
      </c>
    </row>
    <row r="87" spans="1:44" ht="11.25" customHeight="1">
      <c r="E87" s="3129" t="s">
        <v>251</v>
      </c>
      <c r="F87" s="3129"/>
      <c r="G87" s="3129"/>
      <c r="H87" s="3129"/>
      <c r="I87" s="3129"/>
      <c r="J87" s="3129"/>
      <c r="K87" s="3129"/>
      <c r="L87" s="3129"/>
      <c r="M87" s="3129"/>
      <c r="N87" s="3129"/>
      <c r="O87" s="3129"/>
      <c r="P87" s="3129"/>
      <c r="Q87" s="3129"/>
      <c r="R87" s="3129"/>
      <c r="S87" s="3129"/>
      <c r="T87" s="3129"/>
      <c r="U87" s="3129"/>
      <c r="V87" s="3129"/>
      <c r="W87" s="3129"/>
      <c r="AR87" s="42">
        <v>0</v>
      </c>
    </row>
    <row r="88" spans="1:44" ht="36.75" customHeight="1">
      <c r="E88" s="3127" t="s">
        <v>252</v>
      </c>
      <c r="F88" s="3127"/>
      <c r="G88" s="3128"/>
      <c r="H88" s="3128"/>
      <c r="I88" s="3128"/>
      <c r="J88" s="3128"/>
      <c r="K88" s="3128"/>
      <c r="L88" s="3128"/>
      <c r="M88" s="3128"/>
      <c r="N88" s="3128"/>
      <c r="O88" s="3128"/>
      <c r="P88" s="3128"/>
      <c r="Q88" s="3128"/>
      <c r="R88" s="3128"/>
      <c r="S88" s="3128"/>
      <c r="T88" s="3128"/>
      <c r="U88" s="3128"/>
      <c r="V88" s="3128"/>
      <c r="W88" s="3128"/>
      <c r="AR88" s="42">
        <v>0</v>
      </c>
    </row>
    <row r="89" spans="1:44" ht="28.5" customHeight="1">
      <c r="E89" s="3127" t="s">
        <v>253</v>
      </c>
      <c r="F89" s="3127"/>
      <c r="G89" s="3128"/>
      <c r="H89" s="3128"/>
      <c r="I89" s="3128"/>
      <c r="J89" s="3128"/>
      <c r="K89" s="3128"/>
      <c r="L89" s="3128"/>
      <c r="M89" s="3128"/>
      <c r="N89" s="3128"/>
      <c r="O89" s="3128"/>
      <c r="P89" s="3128"/>
      <c r="Q89" s="3128"/>
      <c r="R89" s="3128"/>
      <c r="S89" s="3128"/>
      <c r="T89" s="3128"/>
      <c r="U89" s="3128"/>
      <c r="V89" s="3128"/>
      <c r="W89" s="3128"/>
      <c r="AR89" s="42">
        <v>0</v>
      </c>
    </row>
    <row r="90" spans="1:44" ht="27" customHeight="1">
      <c r="E90" s="3127" t="s">
        <v>254</v>
      </c>
      <c r="F90" s="3127"/>
      <c r="G90" s="3128"/>
      <c r="H90" s="3128"/>
      <c r="I90" s="3128"/>
      <c r="J90" s="3128"/>
      <c r="K90" s="3128"/>
      <c r="L90" s="3128"/>
      <c r="M90" s="3128"/>
      <c r="N90" s="3128"/>
      <c r="O90" s="3128"/>
      <c r="P90" s="3128"/>
      <c r="Q90" s="3128"/>
      <c r="R90" s="3128"/>
      <c r="S90" s="3128"/>
      <c r="T90" s="3128"/>
      <c r="U90" s="3128"/>
      <c r="V90" s="3128"/>
      <c r="W90" s="3128"/>
      <c r="AR90" s="42">
        <v>0</v>
      </c>
    </row>
    <row r="91" spans="1:44" ht="17.25" customHeight="1">
      <c r="E91" s="3127" t="s">
        <v>255</v>
      </c>
      <c r="F91" s="3127"/>
      <c r="G91" s="3128"/>
      <c r="H91" s="3128"/>
      <c r="I91" s="3128"/>
      <c r="J91" s="3128"/>
      <c r="K91" s="3128"/>
      <c r="L91" s="3128"/>
      <c r="M91" s="3128"/>
      <c r="N91" s="3128"/>
      <c r="O91" s="3128"/>
      <c r="P91" s="3128"/>
      <c r="Q91" s="3128"/>
      <c r="R91" s="3128"/>
      <c r="S91" s="3128"/>
      <c r="T91" s="3128"/>
      <c r="U91" s="3128"/>
      <c r="V91" s="3128"/>
      <c r="W91" s="3128"/>
      <c r="AR91" s="42">
        <v>0</v>
      </c>
    </row>
    <row r="92" spans="1:44" ht="15" customHeight="1">
      <c r="E92" s="275"/>
      <c r="F92" s="1202"/>
      <c r="G92" s="93"/>
      <c r="H92" s="93"/>
      <c r="I92" s="93"/>
      <c r="J92" s="93"/>
      <c r="K92" s="93"/>
      <c r="L92" s="93"/>
      <c r="M92" s="93"/>
      <c r="N92" s="93"/>
      <c r="O92" s="93"/>
      <c r="P92" s="93"/>
      <c r="Q92" s="93"/>
      <c r="R92" s="93"/>
      <c r="S92" s="93"/>
      <c r="T92" s="93"/>
      <c r="U92" s="93"/>
      <c r="V92" s="93"/>
      <c r="W92" s="93"/>
      <c r="AR92" s="42">
        <v>0</v>
      </c>
    </row>
    <row r="93" spans="1:44" ht="15" customHeight="1">
      <c r="E93" s="3129" t="s">
        <v>256</v>
      </c>
      <c r="F93" s="3129"/>
      <c r="G93" s="3129"/>
      <c r="H93" s="3129"/>
      <c r="I93" s="3129"/>
      <c r="J93" s="3129"/>
      <c r="K93" s="3129"/>
      <c r="L93" s="3129"/>
      <c r="M93" s="3129"/>
      <c r="N93" s="3129"/>
      <c r="O93" s="3129"/>
      <c r="P93" s="3129"/>
      <c r="Q93" s="3129"/>
      <c r="R93" s="3129"/>
      <c r="S93" s="3129"/>
      <c r="T93" s="3129"/>
      <c r="U93" s="3129"/>
      <c r="V93" s="3129"/>
      <c r="W93" s="3129"/>
      <c r="AR93" s="42">
        <v>0</v>
      </c>
    </row>
    <row r="94" spans="1:44" ht="17.25" customHeight="1">
      <c r="E94" s="3127" t="s">
        <v>257</v>
      </c>
      <c r="F94" s="3127"/>
      <c r="G94" s="3128"/>
      <c r="H94" s="3128"/>
      <c r="I94" s="3128"/>
      <c r="J94" s="3128"/>
      <c r="K94" s="3128"/>
      <c r="L94" s="3128"/>
      <c r="M94" s="3128"/>
      <c r="N94" s="3128"/>
      <c r="O94" s="3128"/>
      <c r="P94" s="3128"/>
      <c r="Q94" s="3128"/>
      <c r="R94" s="3128"/>
      <c r="S94" s="3128"/>
      <c r="T94" s="3128"/>
      <c r="U94" s="3128"/>
      <c r="V94" s="3128"/>
      <c r="W94" s="3128"/>
      <c r="AR94" s="42">
        <v>0</v>
      </c>
    </row>
    <row r="95" spans="1:44" ht="17.25" customHeight="1">
      <c r="E95" s="3127" t="s">
        <v>258</v>
      </c>
      <c r="F95" s="3127"/>
      <c r="G95" s="3128"/>
      <c r="H95" s="3128"/>
      <c r="I95" s="3128"/>
      <c r="J95" s="3128"/>
      <c r="K95" s="3128"/>
      <c r="L95" s="3128"/>
      <c r="M95" s="3128"/>
      <c r="N95" s="3128"/>
      <c r="O95" s="3128"/>
      <c r="P95" s="3128"/>
      <c r="Q95" s="3128"/>
      <c r="R95" s="3128"/>
      <c r="S95" s="3128"/>
      <c r="T95" s="3128"/>
      <c r="U95" s="3128"/>
      <c r="V95" s="3128"/>
      <c r="W95" s="3128"/>
      <c r="AR95" s="42">
        <v>0</v>
      </c>
    </row>
    <row r="96" spans="1:44" s="2028" customFormat="1" ht="11.25" hidden="1" customHeight="1">
      <c r="A96" s="212"/>
      <c r="B96" s="212"/>
      <c r="Y96" s="1176"/>
      <c r="Z96" s="1176"/>
      <c r="AA96" s="1176"/>
      <c r="AB96" s="1176"/>
      <c r="AC96" s="1176"/>
      <c r="AD96" s="1176"/>
      <c r="AE96" s="1176"/>
      <c r="AF96" s="1176"/>
      <c r="AG96" s="1176"/>
      <c r="AH96" s="1176"/>
      <c r="AI96" s="1176"/>
      <c r="AJ96" s="1176"/>
      <c r="AK96" s="1176"/>
      <c r="AL96" s="1176"/>
      <c r="AM96" s="1176"/>
      <c r="AN96" s="1176"/>
      <c r="AO96" s="1176"/>
      <c r="AP96" s="1176"/>
      <c r="AQ96" s="1176"/>
      <c r="AR96" s="1267">
        <v>0</v>
      </c>
    </row>
    <row r="97" spans="1:44" s="2028" customFormat="1" ht="17.25" hidden="1" customHeight="1">
      <c r="A97" s="256"/>
      <c r="C97" s="144"/>
      <c r="D97" s="3087">
        <v>1</v>
      </c>
      <c r="E97" s="3094" t="s">
        <v>259</v>
      </c>
      <c r="F97" s="3096" t="s">
        <v>19</v>
      </c>
      <c r="G97" s="3094"/>
      <c r="H97" s="3099"/>
      <c r="I97" s="3101"/>
      <c r="J97" s="3103"/>
      <c r="K97" s="3088"/>
      <c r="L97" s="3088"/>
      <c r="M97" s="3088"/>
      <c r="N97" s="3090"/>
      <c r="O97" s="3088"/>
      <c r="P97" s="3088"/>
      <c r="Q97" s="3088"/>
      <c r="R97" s="3093"/>
      <c r="S97" s="3088"/>
      <c r="T97" s="1387"/>
      <c r="U97" s="1387"/>
      <c r="V97" s="1389"/>
      <c r="W97" s="1213"/>
      <c r="Y97" s="1184"/>
      <c r="Z97" s="1184"/>
      <c r="AA97" s="1184"/>
      <c r="AB97" s="1184"/>
      <c r="AC97" s="1184" t="s">
        <v>260</v>
      </c>
      <c r="AD97" s="1184" t="s">
        <v>261</v>
      </c>
      <c r="AE97" s="1184" t="s">
        <v>262</v>
      </c>
      <c r="AF97" s="1184" t="s">
        <v>263</v>
      </c>
      <c r="AG97" s="1184"/>
      <c r="AH97" s="1184" t="str">
        <f>IF($E$97=0,"",$E$97)</f>
        <v>Тариф на питьевую воду (питьевое водоснабжение)</v>
      </c>
      <c r="AI97" s="1184" t="str">
        <f>IF($G$97=0,"",$G$97)</f>
        <v/>
      </c>
      <c r="AJ97" s="1184" t="str">
        <f>IF($J$97=0,"",$J$97)</f>
        <v/>
      </c>
      <c r="AK97" s="1184" t="str">
        <f>IF($K$97="нет","без дифференциации",IF($N$97=0,"",$N$97))</f>
        <v/>
      </c>
      <c r="AL97" s="1184" t="str">
        <f>IF($O$97="нет","без дифференциации",IF($R$97=0,"",$R$97))</f>
        <v/>
      </c>
      <c r="AM97" s="1184" t="str">
        <f>IF($S$97="нет","без дифференциации",IF($V$97=0,"",$V$97))</f>
        <v/>
      </c>
      <c r="AN97" s="1184">
        <f>$I$97</f>
        <v>0</v>
      </c>
      <c r="AO97" s="1184" t="str">
        <f>$I$97&amp;"."&amp;$M$97</f>
        <v>.</v>
      </c>
      <c r="AP97" s="1184" t="str">
        <f>$I$97&amp;"."&amp;$M$97&amp;"."&amp;$Q$97</f>
        <v>..</v>
      </c>
      <c r="AQ97" s="1184" t="str">
        <f>$I$97&amp;"."&amp;$M$97&amp;"."&amp;$Q$97&amp;"."&amp;$U$97</f>
        <v>...</v>
      </c>
      <c r="AR97" s="1267">
        <v>0</v>
      </c>
    </row>
    <row r="98" spans="1:44" s="2028" customFormat="1" ht="17.25" hidden="1" customHeight="1">
      <c r="A98" s="256"/>
      <c r="C98" s="255"/>
      <c r="D98" s="3087"/>
      <c r="E98" s="3094"/>
      <c r="F98" s="3097"/>
      <c r="G98" s="3094"/>
      <c r="H98" s="3100"/>
      <c r="I98" s="3102"/>
      <c r="J98" s="3104"/>
      <c r="K98" s="3089"/>
      <c r="L98" s="3089"/>
      <c r="M98" s="3089"/>
      <c r="N98" s="3091"/>
      <c r="O98" s="3089"/>
      <c r="P98" s="3089"/>
      <c r="Q98" s="3089"/>
      <c r="R98" s="3092"/>
      <c r="S98" s="3089"/>
      <c r="T98" s="1214"/>
      <c r="U98" s="1214"/>
      <c r="V98" s="1214"/>
      <c r="W98" s="1215"/>
      <c r="Y98" s="1176"/>
      <c r="Z98" s="1176"/>
      <c r="AA98" s="1176"/>
      <c r="AB98" s="1176"/>
      <c r="AC98" s="1176"/>
      <c r="AD98" s="1176"/>
      <c r="AE98" s="1176"/>
      <c r="AF98" s="1176"/>
      <c r="AG98" s="1176"/>
      <c r="AH98" s="1176"/>
      <c r="AI98" s="1176"/>
      <c r="AJ98" s="1176"/>
      <c r="AK98" s="1176"/>
      <c r="AL98" s="1176"/>
      <c r="AM98" s="1176"/>
      <c r="AN98" s="1176"/>
      <c r="AO98" s="1176"/>
      <c r="AP98" s="1176"/>
      <c r="AQ98" s="1176"/>
      <c r="AR98" s="1267">
        <v>0</v>
      </c>
    </row>
    <row r="99" spans="1:44" s="2028" customFormat="1" ht="17.25" hidden="1" customHeight="1">
      <c r="A99" s="256"/>
      <c r="C99" s="144"/>
      <c r="D99" s="3087"/>
      <c r="E99" s="3094"/>
      <c r="F99" s="3097"/>
      <c r="G99" s="3094"/>
      <c r="H99" s="3100"/>
      <c r="I99" s="3102"/>
      <c r="J99" s="3105"/>
      <c r="K99" s="3089"/>
      <c r="L99" s="3089"/>
      <c r="M99" s="3089"/>
      <c r="N99" s="3092"/>
      <c r="O99" s="3089"/>
      <c r="P99" s="1388"/>
      <c r="Q99" s="1214"/>
      <c r="R99" s="1214"/>
      <c r="S99" s="264"/>
      <c r="T99" s="264"/>
      <c r="U99" s="264"/>
      <c r="V99" s="264"/>
      <c r="W99" s="1215"/>
      <c r="Y99" s="1184"/>
      <c r="Z99" s="1184"/>
      <c r="AA99" s="1184"/>
      <c r="AB99" s="1184"/>
      <c r="AC99" s="1184"/>
      <c r="AD99" s="1184"/>
      <c r="AE99" s="1184"/>
      <c r="AF99" s="1184"/>
      <c r="AG99" s="1184"/>
      <c r="AH99" s="1184"/>
      <c r="AI99" s="1184"/>
      <c r="AJ99" s="1184"/>
      <c r="AK99" s="1184"/>
      <c r="AL99" s="1184"/>
      <c r="AM99" s="1184"/>
      <c r="AN99" s="1184"/>
      <c r="AO99" s="1184"/>
      <c r="AP99" s="1184"/>
      <c r="AQ99" s="1184"/>
      <c r="AR99" s="1358">
        <v>0</v>
      </c>
    </row>
    <row r="100" spans="1:44" s="2028" customFormat="1" ht="17.25" hidden="1" customHeight="1">
      <c r="A100" s="256"/>
      <c r="C100" s="255"/>
      <c r="D100" s="3087"/>
      <c r="E100" s="3094"/>
      <c r="F100" s="3097"/>
      <c r="G100" s="3094"/>
      <c r="H100" s="3100"/>
      <c r="I100" s="3102"/>
      <c r="J100" s="3105"/>
      <c r="K100" s="3089"/>
      <c r="L100" s="1214"/>
      <c r="M100" s="1214"/>
      <c r="N100" s="1214"/>
      <c r="O100" s="1214"/>
      <c r="P100" s="1214"/>
      <c r="Q100" s="1214"/>
      <c r="R100" s="1214"/>
      <c r="S100" s="264"/>
      <c r="T100" s="264"/>
      <c r="U100" s="264"/>
      <c r="V100" s="264"/>
      <c r="W100" s="1215"/>
      <c r="Y100" s="1176"/>
      <c r="Z100" s="1176"/>
      <c r="AA100" s="1176"/>
      <c r="AB100" s="1176"/>
      <c r="AC100" s="1176"/>
      <c r="AD100" s="1176"/>
      <c r="AE100" s="1176"/>
      <c r="AF100" s="1176"/>
      <c r="AG100" s="1176"/>
      <c r="AH100" s="1176"/>
      <c r="AI100" s="1176"/>
      <c r="AJ100" s="1176"/>
      <c r="AK100" s="1176"/>
      <c r="AL100" s="1176"/>
      <c r="AM100" s="1176"/>
      <c r="AN100" s="1176"/>
      <c r="AO100" s="1176"/>
      <c r="AP100" s="1176"/>
      <c r="AQ100" s="1176"/>
      <c r="AR100" s="1358">
        <v>0</v>
      </c>
    </row>
    <row r="101" spans="1:44" s="2028" customFormat="1" ht="17.25" hidden="1" customHeight="1">
      <c r="A101" s="256"/>
      <c r="C101" s="255"/>
      <c r="D101" s="3075"/>
      <c r="E101" s="3095"/>
      <c r="F101" s="3098"/>
      <c r="G101" s="3095"/>
      <c r="H101" s="1216"/>
      <c r="I101" s="1217"/>
      <c r="J101" s="1217"/>
      <c r="K101" s="1217"/>
      <c r="L101" s="1217"/>
      <c r="M101" s="1217"/>
      <c r="N101" s="1217"/>
      <c r="O101" s="1217"/>
      <c r="P101" s="1217"/>
      <c r="Q101" s="1217"/>
      <c r="R101" s="1217"/>
      <c r="S101" s="1218"/>
      <c r="T101" s="1218"/>
      <c r="U101" s="1218"/>
      <c r="V101" s="1218"/>
      <c r="W101" s="1219"/>
      <c r="Y101" s="1176"/>
      <c r="Z101" s="1176"/>
      <c r="AA101" s="1176"/>
      <c r="AB101" s="1176"/>
      <c r="AC101" s="1176"/>
      <c r="AD101" s="1176"/>
      <c r="AE101" s="1176"/>
      <c r="AF101" s="1176"/>
      <c r="AG101" s="1176"/>
      <c r="AH101" s="1176"/>
      <c r="AI101" s="1176"/>
      <c r="AJ101" s="1176"/>
      <c r="AK101" s="1176"/>
      <c r="AL101" s="1176"/>
      <c r="AM101" s="1176"/>
      <c r="AN101" s="1176"/>
      <c r="AO101" s="1176"/>
      <c r="AP101" s="1176"/>
      <c r="AQ101" s="1176"/>
      <c r="AR101" s="1267">
        <v>0</v>
      </c>
    </row>
    <row r="102" spans="1:44" s="2028" customFormat="1" ht="17.25" hidden="1" customHeight="1">
      <c r="A102" s="256"/>
      <c r="C102" s="144"/>
      <c r="D102" s="3087">
        <v>2</v>
      </c>
      <c r="E102" s="3094" t="s">
        <v>264</v>
      </c>
      <c r="F102" s="3096" t="s">
        <v>19</v>
      </c>
      <c r="G102" s="3094"/>
      <c r="H102" s="3099"/>
      <c r="I102" s="3101"/>
      <c r="J102" s="3103"/>
      <c r="K102" s="3088"/>
      <c r="L102" s="3088"/>
      <c r="M102" s="3088"/>
      <c r="N102" s="3090"/>
      <c r="O102" s="3088"/>
      <c r="P102" s="3088"/>
      <c r="Q102" s="3088"/>
      <c r="R102" s="3093"/>
      <c r="S102" s="3088"/>
      <c r="T102" s="1360"/>
      <c r="U102" s="1360"/>
      <c r="V102" s="1362"/>
      <c r="W102" s="1213"/>
      <c r="X102" s="1184"/>
      <c r="Y102" s="1184"/>
      <c r="Z102" s="1184"/>
      <c r="AA102" s="1184"/>
      <c r="AB102" s="1184"/>
      <c r="AC102" s="1184" t="s">
        <v>265</v>
      </c>
      <c r="AD102" s="1184" t="s">
        <v>266</v>
      </c>
      <c r="AE102" s="1184" t="s">
        <v>267</v>
      </c>
      <c r="AF102" s="1184" t="s">
        <v>268</v>
      </c>
      <c r="AG102" s="1184"/>
      <c r="AH102" s="1184" t="str">
        <f>IF($E$102=0,"",$E$102)</f>
        <v>Тариф на техническую воду</v>
      </c>
      <c r="AI102" s="1184" t="str">
        <f>IF($G$102=0,"",$G$102)</f>
        <v/>
      </c>
      <c r="AJ102" s="1184" t="str">
        <f>IF($J$102=0,"",$J$102)</f>
        <v/>
      </c>
      <c r="AK102" s="1184" t="str">
        <f>IF($K$102="нет","без дифференциации",IF($N$102=0,"",$N$102))</f>
        <v/>
      </c>
      <c r="AL102" s="1184" t="str">
        <f>IF($O$102="нет","без дифференциации",IF($R$102=0,"",$R$102))</f>
        <v/>
      </c>
      <c r="AM102" s="1184" t="str">
        <f>IF($S$102="нет","без дифференциации",IF($V$102=0,"",$V$102))</f>
        <v/>
      </c>
      <c r="AN102" s="1688">
        <f>$I$102</f>
        <v>0</v>
      </c>
      <c r="AO102" s="1184" t="str">
        <f>$I$102&amp;"."&amp;$M$102</f>
        <v>.</v>
      </c>
      <c r="AP102" s="1176" t="str">
        <f>$I$102&amp;"."&amp;$M$102&amp;"."&amp;$Q$102</f>
        <v>..</v>
      </c>
      <c r="AQ102" s="1176" t="str">
        <f>$I$102&amp;"."&amp;$M$102&amp;"."&amp;$Q$102&amp;"."&amp;$U$102</f>
        <v>...</v>
      </c>
      <c r="AR102" s="1267">
        <v>0</v>
      </c>
    </row>
    <row r="103" spans="1:44" s="2028" customFormat="1" ht="17.25" hidden="1" customHeight="1">
      <c r="A103" s="256"/>
      <c r="C103" s="255"/>
      <c r="D103" s="3087"/>
      <c r="E103" s="3094"/>
      <c r="F103" s="3097"/>
      <c r="G103" s="3094"/>
      <c r="H103" s="3100"/>
      <c r="I103" s="3102"/>
      <c r="J103" s="3104"/>
      <c r="K103" s="3089"/>
      <c r="L103" s="3089"/>
      <c r="M103" s="3089"/>
      <c r="N103" s="3091"/>
      <c r="O103" s="3089"/>
      <c r="P103" s="3089"/>
      <c r="Q103" s="3089"/>
      <c r="R103" s="3092"/>
      <c r="S103" s="3089"/>
      <c r="T103" s="1214"/>
      <c r="U103" s="1214"/>
      <c r="V103" s="1214"/>
      <c r="W103" s="1215"/>
      <c r="X103" s="1176"/>
      <c r="Y103" s="1176"/>
      <c r="Z103" s="1176"/>
      <c r="AA103" s="1176"/>
      <c r="AB103" s="1176"/>
      <c r="AC103" s="1176"/>
      <c r="AD103" s="1176"/>
      <c r="AE103" s="1176"/>
      <c r="AF103" s="1176"/>
      <c r="AG103" s="1176"/>
      <c r="AH103" s="1176"/>
      <c r="AI103" s="1176"/>
      <c r="AJ103" s="1176"/>
      <c r="AK103" s="1176"/>
      <c r="AL103" s="1176"/>
      <c r="AM103" s="1176"/>
      <c r="AN103" s="1176"/>
      <c r="AO103" s="1176"/>
      <c r="AP103" s="1176"/>
      <c r="AQ103" s="1176"/>
      <c r="AR103" s="1267">
        <v>0</v>
      </c>
    </row>
    <row r="104" spans="1:44" s="2028" customFormat="1" ht="17.25" hidden="1" customHeight="1">
      <c r="A104" s="256"/>
      <c r="C104" s="255"/>
      <c r="D104" s="3075"/>
      <c r="E104" s="3095"/>
      <c r="F104" s="3097"/>
      <c r="G104" s="3095"/>
      <c r="H104" s="3100"/>
      <c r="I104" s="3102"/>
      <c r="J104" s="3105"/>
      <c r="K104" s="3089"/>
      <c r="L104" s="3089"/>
      <c r="M104" s="3089"/>
      <c r="N104" s="3092"/>
      <c r="O104" s="3089"/>
      <c r="P104" s="1361"/>
      <c r="Q104" s="1214"/>
      <c r="R104" s="1214"/>
      <c r="S104" s="264"/>
      <c r="T104" s="264"/>
      <c r="U104" s="264"/>
      <c r="V104" s="264"/>
      <c r="W104" s="1215"/>
      <c r="X104" s="1176"/>
      <c r="Y104" s="1176"/>
      <c r="Z104" s="1176"/>
      <c r="AA104" s="1176"/>
      <c r="AB104" s="1176"/>
      <c r="AC104" s="1176"/>
      <c r="AD104" s="1176"/>
      <c r="AE104" s="1176"/>
      <c r="AF104" s="1176"/>
      <c r="AG104" s="1176"/>
      <c r="AH104" s="1176"/>
      <c r="AI104" s="1176"/>
      <c r="AJ104" s="1176"/>
      <c r="AK104" s="1176"/>
      <c r="AL104" s="1176"/>
      <c r="AM104" s="1176"/>
      <c r="AN104" s="1176"/>
      <c r="AO104" s="1176"/>
      <c r="AP104" s="1176"/>
      <c r="AQ104" s="1176"/>
      <c r="AR104" s="1267">
        <v>0</v>
      </c>
    </row>
    <row r="105" spans="1:44" s="2028" customFormat="1" ht="17.25" hidden="1" customHeight="1">
      <c r="A105" s="256"/>
      <c r="C105" s="255"/>
      <c r="D105" s="3075"/>
      <c r="E105" s="3095"/>
      <c r="F105" s="3097"/>
      <c r="G105" s="3095"/>
      <c r="H105" s="3100"/>
      <c r="I105" s="3102"/>
      <c r="J105" s="3105"/>
      <c r="K105" s="3089"/>
      <c r="L105" s="1214"/>
      <c r="M105" s="1214"/>
      <c r="N105" s="1214"/>
      <c r="O105" s="1214"/>
      <c r="P105" s="1214"/>
      <c r="Q105" s="1214"/>
      <c r="R105" s="1214"/>
      <c r="S105" s="264"/>
      <c r="T105" s="264"/>
      <c r="U105" s="264"/>
      <c r="V105" s="264"/>
      <c r="W105" s="1215"/>
      <c r="X105" s="1176"/>
      <c r="Y105" s="1176"/>
      <c r="Z105" s="1176"/>
      <c r="AA105" s="1176"/>
      <c r="AB105" s="1176"/>
      <c r="AC105" s="1176"/>
      <c r="AD105" s="1176"/>
      <c r="AE105" s="1176"/>
      <c r="AF105" s="1176"/>
      <c r="AG105" s="1176"/>
      <c r="AH105" s="1176"/>
      <c r="AI105" s="1176"/>
      <c r="AJ105" s="1176"/>
      <c r="AK105" s="1176"/>
      <c r="AL105" s="1176"/>
      <c r="AM105" s="1176"/>
      <c r="AN105" s="1176"/>
      <c r="AO105" s="1176"/>
      <c r="AP105" s="1176"/>
      <c r="AQ105" s="1176"/>
      <c r="AR105" s="1267">
        <v>0</v>
      </c>
    </row>
    <row r="106" spans="1:44" s="2028" customFormat="1" ht="17.25" hidden="1" customHeight="1">
      <c r="A106" s="256"/>
      <c r="C106" s="255"/>
      <c r="D106" s="3075"/>
      <c r="E106" s="3095"/>
      <c r="F106" s="3098"/>
      <c r="G106" s="3095"/>
      <c r="H106" s="1216"/>
      <c r="I106" s="1217"/>
      <c r="J106" s="1217"/>
      <c r="K106" s="1217"/>
      <c r="L106" s="1217"/>
      <c r="M106" s="1217"/>
      <c r="N106" s="1217"/>
      <c r="O106" s="1217"/>
      <c r="P106" s="1217"/>
      <c r="Q106" s="1217"/>
      <c r="R106" s="1217"/>
      <c r="S106" s="1218"/>
      <c r="T106" s="1218"/>
      <c r="U106" s="1218"/>
      <c r="V106" s="1218"/>
      <c r="W106" s="1219"/>
      <c r="X106" s="1176"/>
      <c r="Y106" s="1176"/>
      <c r="Z106" s="1176"/>
      <c r="AA106" s="1176"/>
      <c r="AB106" s="1176"/>
      <c r="AC106" s="1176"/>
      <c r="AD106" s="1176"/>
      <c r="AE106" s="1176"/>
      <c r="AF106" s="1176"/>
      <c r="AG106" s="1176"/>
      <c r="AH106" s="1176"/>
      <c r="AI106" s="1176"/>
      <c r="AJ106" s="1176"/>
      <c r="AK106" s="1176"/>
      <c r="AL106" s="1176"/>
      <c r="AM106" s="1176"/>
      <c r="AN106" s="1176"/>
      <c r="AO106" s="1176"/>
      <c r="AP106" s="1176"/>
      <c r="AQ106" s="1176"/>
      <c r="AR106" s="1267">
        <v>0</v>
      </c>
    </row>
    <row r="107" spans="1:44" s="2028" customFormat="1" ht="17.25" hidden="1" customHeight="1">
      <c r="A107" s="256"/>
      <c r="C107" s="144"/>
      <c r="D107" s="3087">
        <v>3</v>
      </c>
      <c r="E107" s="3094" t="s">
        <v>269</v>
      </c>
      <c r="F107" s="3096" t="s">
        <v>19</v>
      </c>
      <c r="G107" s="3094"/>
      <c r="H107" s="3099"/>
      <c r="I107" s="3101"/>
      <c r="J107" s="3103"/>
      <c r="K107" s="3088"/>
      <c r="L107" s="3088"/>
      <c r="M107" s="3088"/>
      <c r="N107" s="3090"/>
      <c r="O107" s="3088"/>
      <c r="P107" s="3088"/>
      <c r="Q107" s="3088"/>
      <c r="R107" s="3093"/>
      <c r="S107" s="3088"/>
      <c r="T107" s="1360"/>
      <c r="U107" s="1360"/>
      <c r="V107" s="1362"/>
      <c r="W107" s="1213"/>
      <c r="X107" s="1184"/>
      <c r="Y107" s="1184"/>
      <c r="Z107" s="1184"/>
      <c r="AA107" s="1184"/>
      <c r="AB107" s="1184"/>
      <c r="AC107" s="1184" t="s">
        <v>270</v>
      </c>
      <c r="AD107" s="1184" t="s">
        <v>271</v>
      </c>
      <c r="AE107" s="1184" t="s">
        <v>272</v>
      </c>
      <c r="AF107" s="1184" t="s">
        <v>273</v>
      </c>
      <c r="AG107" s="1184"/>
      <c r="AH107" s="1184" t="str">
        <f>IF($E$107=0,"",$E$107)</f>
        <v>Тариф на транспортировку воды</v>
      </c>
      <c r="AI107" s="1184" t="str">
        <f>IF($G$107=0,"",$G$107)</f>
        <v/>
      </c>
      <c r="AJ107" s="1184" t="str">
        <f>IF($J$107=0,"",$J$107)</f>
        <v/>
      </c>
      <c r="AK107" s="1184" t="str">
        <f>IF($K$107="нет","без дифференциации",IF($N$107=0,"",$N$107))</f>
        <v/>
      </c>
      <c r="AL107" s="1184" t="str">
        <f>IF($O$107="нет","без дифференциации",IF($R$107=0,"",$R$107))</f>
        <v/>
      </c>
      <c r="AM107" s="1184" t="str">
        <f>IF($S$107="нет","без дифференциации",IF($V$107=0,"",$V$107))</f>
        <v/>
      </c>
      <c r="AN107" s="1688">
        <f>$I$107</f>
        <v>0</v>
      </c>
      <c r="AO107" s="1184" t="str">
        <f>$I$107&amp;"."&amp;$M$107</f>
        <v>.</v>
      </c>
      <c r="AP107" s="1176" t="str">
        <f>$I$107&amp;"."&amp;$M$107&amp;"."&amp;$Q$107</f>
        <v>..</v>
      </c>
      <c r="AQ107" s="1176" t="str">
        <f>$I$107&amp;"."&amp;$M$107&amp;"."&amp;$Q$107&amp;"."&amp;$U$107</f>
        <v>...</v>
      </c>
      <c r="AR107" s="1267">
        <v>0</v>
      </c>
    </row>
    <row r="108" spans="1:44" s="2028" customFormat="1" ht="17.25" hidden="1" customHeight="1">
      <c r="A108" s="256"/>
      <c r="C108" s="255"/>
      <c r="D108" s="3087"/>
      <c r="E108" s="3094"/>
      <c r="F108" s="3097"/>
      <c r="G108" s="3094"/>
      <c r="H108" s="3100"/>
      <c r="I108" s="3102"/>
      <c r="J108" s="3104"/>
      <c r="K108" s="3089"/>
      <c r="L108" s="3089"/>
      <c r="M108" s="3089"/>
      <c r="N108" s="3091"/>
      <c r="O108" s="3089"/>
      <c r="P108" s="3089"/>
      <c r="Q108" s="3089"/>
      <c r="R108" s="3092"/>
      <c r="S108" s="3089"/>
      <c r="T108" s="1214"/>
      <c r="U108" s="1214"/>
      <c r="V108" s="1214"/>
      <c r="W108" s="1215"/>
      <c r="X108" s="1176"/>
      <c r="Y108" s="1176"/>
      <c r="Z108" s="1176"/>
      <c r="AA108" s="1176"/>
      <c r="AB108" s="1176"/>
      <c r="AC108" s="1176"/>
      <c r="AD108" s="1176"/>
      <c r="AE108" s="1176"/>
      <c r="AF108" s="1176"/>
      <c r="AG108" s="1176"/>
      <c r="AH108" s="1176"/>
      <c r="AI108" s="1176"/>
      <c r="AJ108" s="1176"/>
      <c r="AK108" s="1176"/>
      <c r="AL108" s="1176"/>
      <c r="AM108" s="1176"/>
      <c r="AN108" s="1176"/>
      <c r="AO108" s="1176"/>
      <c r="AP108" s="1176"/>
      <c r="AQ108" s="1176"/>
      <c r="AR108" s="1267">
        <v>0</v>
      </c>
    </row>
    <row r="109" spans="1:44" s="2028" customFormat="1" ht="17.25" hidden="1" customHeight="1">
      <c r="A109" s="256"/>
      <c r="C109" s="255"/>
      <c r="D109" s="3075"/>
      <c r="E109" s="3095"/>
      <c r="F109" s="3097"/>
      <c r="G109" s="3095"/>
      <c r="H109" s="3100"/>
      <c r="I109" s="3102"/>
      <c r="J109" s="3105"/>
      <c r="K109" s="3089"/>
      <c r="L109" s="3089"/>
      <c r="M109" s="3089"/>
      <c r="N109" s="3092"/>
      <c r="O109" s="3089"/>
      <c r="P109" s="1361"/>
      <c r="Q109" s="1214"/>
      <c r="R109" s="1214"/>
      <c r="S109" s="264"/>
      <c r="T109" s="264"/>
      <c r="U109" s="264"/>
      <c r="V109" s="264"/>
      <c r="W109" s="1215"/>
      <c r="X109" s="1176"/>
      <c r="Y109" s="1176"/>
      <c r="Z109" s="1176"/>
      <c r="AA109" s="1176"/>
      <c r="AB109" s="1176"/>
      <c r="AC109" s="1176"/>
      <c r="AD109" s="1176"/>
      <c r="AE109" s="1176"/>
      <c r="AF109" s="1176"/>
      <c r="AG109" s="1176"/>
      <c r="AH109" s="1176"/>
      <c r="AI109" s="1176"/>
      <c r="AJ109" s="1176"/>
      <c r="AK109" s="1176"/>
      <c r="AL109" s="1176"/>
      <c r="AM109" s="1176"/>
      <c r="AN109" s="1176"/>
      <c r="AO109" s="1176"/>
      <c r="AP109" s="1176"/>
      <c r="AQ109" s="1176"/>
      <c r="AR109" s="1267">
        <v>0</v>
      </c>
    </row>
    <row r="110" spans="1:44" s="2028" customFormat="1" ht="17.25" hidden="1" customHeight="1">
      <c r="A110" s="256"/>
      <c r="C110" s="255"/>
      <c r="D110" s="3075"/>
      <c r="E110" s="3095"/>
      <c r="F110" s="3097"/>
      <c r="G110" s="3095"/>
      <c r="H110" s="3100"/>
      <c r="I110" s="3102"/>
      <c r="J110" s="3105"/>
      <c r="K110" s="3089"/>
      <c r="L110" s="1214"/>
      <c r="M110" s="1214"/>
      <c r="N110" s="1214"/>
      <c r="O110" s="1214"/>
      <c r="P110" s="1214"/>
      <c r="Q110" s="1214"/>
      <c r="R110" s="1214"/>
      <c r="S110" s="264"/>
      <c r="T110" s="264"/>
      <c r="U110" s="264"/>
      <c r="V110" s="264"/>
      <c r="W110" s="1215"/>
      <c r="X110" s="1176"/>
      <c r="Y110" s="1176"/>
      <c r="Z110" s="1176"/>
      <c r="AA110" s="1176"/>
      <c r="AB110" s="1176"/>
      <c r="AC110" s="1176"/>
      <c r="AD110" s="1176"/>
      <c r="AE110" s="1176"/>
      <c r="AF110" s="1176"/>
      <c r="AG110" s="1176"/>
      <c r="AH110" s="1176"/>
      <c r="AI110" s="1176"/>
      <c r="AJ110" s="1176"/>
      <c r="AK110" s="1176"/>
      <c r="AL110" s="1176"/>
      <c r="AM110" s="1176"/>
      <c r="AN110" s="1176"/>
      <c r="AO110" s="1176"/>
      <c r="AP110" s="1176"/>
      <c r="AQ110" s="1176"/>
      <c r="AR110" s="1267">
        <v>0</v>
      </c>
    </row>
    <row r="111" spans="1:44" s="2028" customFormat="1" ht="17.25" hidden="1" customHeight="1">
      <c r="A111" s="256"/>
      <c r="C111" s="255"/>
      <c r="D111" s="3075"/>
      <c r="E111" s="3095"/>
      <c r="F111" s="3098"/>
      <c r="G111" s="3095"/>
      <c r="H111" s="1216"/>
      <c r="I111" s="1217"/>
      <c r="J111" s="1217"/>
      <c r="K111" s="1217"/>
      <c r="L111" s="1217"/>
      <c r="M111" s="1217"/>
      <c r="N111" s="1217"/>
      <c r="O111" s="1217"/>
      <c r="P111" s="1217"/>
      <c r="Q111" s="1217"/>
      <c r="R111" s="1217"/>
      <c r="S111" s="1218"/>
      <c r="T111" s="1218"/>
      <c r="U111" s="1218"/>
      <c r="V111" s="1218"/>
      <c r="W111" s="1219"/>
      <c r="X111" s="1176"/>
      <c r="Y111" s="1176"/>
      <c r="Z111" s="1176"/>
      <c r="AA111" s="1176"/>
      <c r="AB111" s="1176"/>
      <c r="AC111" s="1176"/>
      <c r="AD111" s="1176"/>
      <c r="AE111" s="1176"/>
      <c r="AF111" s="1176"/>
      <c r="AG111" s="1176"/>
      <c r="AH111" s="1176"/>
      <c r="AI111" s="1176"/>
      <c r="AJ111" s="1176"/>
      <c r="AK111" s="1176"/>
      <c r="AL111" s="1176"/>
      <c r="AM111" s="1176"/>
      <c r="AN111" s="1176"/>
      <c r="AO111" s="1176"/>
      <c r="AP111" s="1176"/>
      <c r="AQ111" s="1176"/>
      <c r="AR111" s="1267">
        <v>0</v>
      </c>
    </row>
    <row r="112" spans="1:44" s="2028" customFormat="1" ht="17.25" hidden="1" customHeight="1">
      <c r="A112" s="256"/>
      <c r="C112" s="144"/>
      <c r="D112" s="3087">
        <v>4</v>
      </c>
      <c r="E112" s="3094" t="s">
        <v>274</v>
      </c>
      <c r="F112" s="3096" t="s">
        <v>19</v>
      </c>
      <c r="G112" s="3094"/>
      <c r="H112" s="3099"/>
      <c r="I112" s="3101"/>
      <c r="J112" s="3103"/>
      <c r="K112" s="3088"/>
      <c r="L112" s="3088"/>
      <c r="M112" s="3088"/>
      <c r="N112" s="3090"/>
      <c r="O112" s="3088"/>
      <c r="P112" s="3088"/>
      <c r="Q112" s="3088"/>
      <c r="R112" s="3093"/>
      <c r="S112" s="3088"/>
      <c r="T112" s="1360"/>
      <c r="U112" s="1360"/>
      <c r="V112" s="1362"/>
      <c r="W112" s="1213"/>
      <c r="X112" s="1184"/>
      <c r="Y112" s="1184"/>
      <c r="Z112" s="1184"/>
      <c r="AA112" s="1184"/>
      <c r="AB112" s="1184"/>
      <c r="AC112" s="1184" t="s">
        <v>275</v>
      </c>
      <c r="AD112" s="1184" t="s">
        <v>276</v>
      </c>
      <c r="AE112" s="1184" t="s">
        <v>277</v>
      </c>
      <c r="AF112" s="1184" t="s">
        <v>278</v>
      </c>
      <c r="AG112" s="1184"/>
      <c r="AH112" s="1184" t="str">
        <f>IF($E$112=0,"",$E$112)</f>
        <v>Тариф на подвоз воды</v>
      </c>
      <c r="AI112" s="1184" t="str">
        <f>IF($G$112=0,"",$G$112)</f>
        <v/>
      </c>
      <c r="AJ112" s="1184" t="str">
        <f>IF($J$112=0,"",$J$112)</f>
        <v/>
      </c>
      <c r="AK112" s="1184" t="str">
        <f>IF($K$112="нет","без дифференциации",IF($N$112=0,"",$N$112))</f>
        <v/>
      </c>
      <c r="AL112" s="1184" t="str">
        <f>IF($O$112="нет","без дифференциации",IF($R$112=0,"",$R$112))</f>
        <v/>
      </c>
      <c r="AM112" s="1184" t="str">
        <f>IF($S$112="нет","без дифференциации",IF($V$112=0,"",$V$112))</f>
        <v/>
      </c>
      <c r="AN112" s="1688">
        <f>$I$112</f>
        <v>0</v>
      </c>
      <c r="AO112" s="1184" t="str">
        <f>$I$112&amp;"."&amp;$M$112</f>
        <v>.</v>
      </c>
      <c r="AP112" s="1176" t="str">
        <f>$I$112&amp;"."&amp;$M$112&amp;"."&amp;$Q$112</f>
        <v>..</v>
      </c>
      <c r="AQ112" s="1176" t="str">
        <f>$I$112&amp;"."&amp;$M$112&amp;"."&amp;$Q$112&amp;"."&amp;$U$112</f>
        <v>...</v>
      </c>
      <c r="AR112" s="1267">
        <v>0</v>
      </c>
    </row>
    <row r="113" spans="1:44" s="2028" customFormat="1" ht="17.25" hidden="1" customHeight="1">
      <c r="A113" s="256"/>
      <c r="C113" s="255"/>
      <c r="D113" s="3087"/>
      <c r="E113" s="3094"/>
      <c r="F113" s="3097"/>
      <c r="G113" s="3094"/>
      <c r="H113" s="3100"/>
      <c r="I113" s="3102"/>
      <c r="J113" s="3104"/>
      <c r="K113" s="3089"/>
      <c r="L113" s="3089"/>
      <c r="M113" s="3089"/>
      <c r="N113" s="3091"/>
      <c r="O113" s="3089"/>
      <c r="P113" s="3089"/>
      <c r="Q113" s="3089"/>
      <c r="R113" s="3092"/>
      <c r="S113" s="3089"/>
      <c r="T113" s="1214"/>
      <c r="U113" s="1214"/>
      <c r="V113" s="1214"/>
      <c r="W113" s="1215"/>
      <c r="X113" s="1176"/>
      <c r="Y113" s="1176"/>
      <c r="Z113" s="1176"/>
      <c r="AA113" s="1176"/>
      <c r="AB113" s="1176"/>
      <c r="AC113" s="1176"/>
      <c r="AD113" s="1176"/>
      <c r="AE113" s="1176"/>
      <c r="AF113" s="1176"/>
      <c r="AG113" s="1176"/>
      <c r="AH113" s="1176"/>
      <c r="AI113" s="1176"/>
      <c r="AJ113" s="1176"/>
      <c r="AK113" s="1176"/>
      <c r="AL113" s="1176"/>
      <c r="AM113" s="1176"/>
      <c r="AN113" s="1176"/>
      <c r="AO113" s="1176"/>
      <c r="AP113" s="1176"/>
      <c r="AQ113" s="1176"/>
      <c r="AR113" s="1267">
        <v>0</v>
      </c>
    </row>
    <row r="114" spans="1:44" s="2028" customFormat="1" ht="17.25" hidden="1" customHeight="1">
      <c r="A114" s="256"/>
      <c r="C114" s="255"/>
      <c r="D114" s="3075"/>
      <c r="E114" s="3095"/>
      <c r="F114" s="3097"/>
      <c r="G114" s="3095"/>
      <c r="H114" s="3100"/>
      <c r="I114" s="3102"/>
      <c r="J114" s="3105"/>
      <c r="K114" s="3089"/>
      <c r="L114" s="3089"/>
      <c r="M114" s="3089"/>
      <c r="N114" s="3092"/>
      <c r="O114" s="3089"/>
      <c r="P114" s="1361"/>
      <c r="Q114" s="1214"/>
      <c r="R114" s="1214"/>
      <c r="S114" s="264"/>
      <c r="T114" s="264"/>
      <c r="U114" s="264"/>
      <c r="V114" s="264"/>
      <c r="W114" s="1215"/>
      <c r="X114" s="1176"/>
      <c r="Y114" s="1176"/>
      <c r="Z114" s="1176"/>
      <c r="AA114" s="1176"/>
      <c r="AB114" s="1176"/>
      <c r="AC114" s="1176"/>
      <c r="AD114" s="1176"/>
      <c r="AE114" s="1176"/>
      <c r="AF114" s="1176"/>
      <c r="AG114" s="1176"/>
      <c r="AH114" s="1176"/>
      <c r="AI114" s="1176"/>
      <c r="AJ114" s="1176"/>
      <c r="AK114" s="1176"/>
      <c r="AL114" s="1176"/>
      <c r="AM114" s="1176"/>
      <c r="AN114" s="1176"/>
      <c r="AO114" s="1176"/>
      <c r="AP114" s="1176"/>
      <c r="AQ114" s="1176"/>
      <c r="AR114" s="1267">
        <v>0</v>
      </c>
    </row>
    <row r="115" spans="1:44" s="2028" customFormat="1" ht="17.25" hidden="1" customHeight="1">
      <c r="A115" s="256"/>
      <c r="C115" s="255"/>
      <c r="D115" s="3075"/>
      <c r="E115" s="3095"/>
      <c r="F115" s="3097"/>
      <c r="G115" s="3095"/>
      <c r="H115" s="3100"/>
      <c r="I115" s="3102"/>
      <c r="J115" s="3105"/>
      <c r="K115" s="3089"/>
      <c r="L115" s="1214"/>
      <c r="M115" s="1214"/>
      <c r="N115" s="1214"/>
      <c r="O115" s="1214"/>
      <c r="P115" s="1214"/>
      <c r="Q115" s="1214"/>
      <c r="R115" s="1214"/>
      <c r="S115" s="264"/>
      <c r="T115" s="264"/>
      <c r="U115" s="264"/>
      <c r="V115" s="264"/>
      <c r="W115" s="1215"/>
      <c r="X115" s="1176"/>
      <c r="Y115" s="1176"/>
      <c r="Z115" s="1176"/>
      <c r="AA115" s="1176"/>
      <c r="AB115" s="1176"/>
      <c r="AC115" s="1176"/>
      <c r="AD115" s="1176"/>
      <c r="AE115" s="1176"/>
      <c r="AF115" s="1176"/>
      <c r="AG115" s="1176"/>
      <c r="AH115" s="1176"/>
      <c r="AI115" s="1176"/>
      <c r="AJ115" s="1176"/>
      <c r="AK115" s="1176"/>
      <c r="AL115" s="1176"/>
      <c r="AM115" s="1176"/>
      <c r="AN115" s="1176"/>
      <c r="AO115" s="1176"/>
      <c r="AP115" s="1176"/>
      <c r="AQ115" s="1176"/>
      <c r="AR115" s="1267">
        <v>0</v>
      </c>
    </row>
    <row r="116" spans="1:44" s="2028" customFormat="1" ht="17.25" hidden="1" customHeight="1">
      <c r="A116" s="256"/>
      <c r="C116" s="255"/>
      <c r="D116" s="3075"/>
      <c r="E116" s="3095"/>
      <c r="F116" s="3098"/>
      <c r="G116" s="3095"/>
      <c r="H116" s="1216"/>
      <c r="I116" s="1217"/>
      <c r="J116" s="1217"/>
      <c r="K116" s="1217"/>
      <c r="L116" s="1217"/>
      <c r="M116" s="1217"/>
      <c r="N116" s="1217"/>
      <c r="O116" s="1217"/>
      <c r="P116" s="1217"/>
      <c r="Q116" s="1217"/>
      <c r="R116" s="1217"/>
      <c r="S116" s="1218"/>
      <c r="T116" s="1218"/>
      <c r="U116" s="1218"/>
      <c r="V116" s="1218"/>
      <c r="W116" s="1219"/>
      <c r="X116" s="1176"/>
      <c r="Y116" s="1176"/>
      <c r="Z116" s="1176"/>
      <c r="AA116" s="1176"/>
      <c r="AB116" s="1176"/>
      <c r="AC116" s="1176"/>
      <c r="AD116" s="1176"/>
      <c r="AE116" s="1176"/>
      <c r="AF116" s="1176"/>
      <c r="AG116" s="1176"/>
      <c r="AH116" s="1176"/>
      <c r="AI116" s="1176"/>
      <c r="AJ116" s="1176"/>
      <c r="AK116" s="1176"/>
      <c r="AL116" s="1176"/>
      <c r="AM116" s="1176"/>
      <c r="AN116" s="1176"/>
      <c r="AO116" s="1176"/>
      <c r="AP116" s="1176"/>
      <c r="AQ116" s="1176"/>
      <c r="AR116" s="1267">
        <v>0</v>
      </c>
    </row>
    <row r="117" spans="1:44" s="2028" customFormat="1" ht="17.25" hidden="1" customHeight="1">
      <c r="A117" s="256"/>
      <c r="C117" s="144"/>
      <c r="D117" s="3087">
        <v>5</v>
      </c>
      <c r="E117" s="3094" t="s">
        <v>279</v>
      </c>
      <c r="F117" s="3096" t="s">
        <v>19</v>
      </c>
      <c r="G117" s="3094"/>
      <c r="H117" s="3099"/>
      <c r="I117" s="3101"/>
      <c r="J117" s="3103"/>
      <c r="K117" s="3088"/>
      <c r="L117" s="3088"/>
      <c r="M117" s="3088"/>
      <c r="N117" s="3090"/>
      <c r="O117" s="3088"/>
      <c r="P117" s="3088"/>
      <c r="Q117" s="3088"/>
      <c r="R117" s="3093"/>
      <c r="S117" s="3088"/>
      <c r="T117" s="1854"/>
      <c r="U117" s="1854"/>
      <c r="V117" s="1856"/>
      <c r="W117" s="1213"/>
      <c r="X117" s="1184"/>
      <c r="Y117" s="1184"/>
      <c r="Z117" s="1184"/>
      <c r="AA117" s="1184"/>
      <c r="AB117" s="1184"/>
      <c r="AC117" s="1184" t="s">
        <v>280</v>
      </c>
      <c r="AD117" s="1184" t="s">
        <v>281</v>
      </c>
      <c r="AE117" s="1184" t="s">
        <v>282</v>
      </c>
      <c r="AF117" s="1184" t="s">
        <v>283</v>
      </c>
      <c r="AG117" s="1184"/>
      <c r="AH117" s="1184" t="str">
        <f>IF($E$117=0,"",$E$117)</f>
        <v>Тариф на подключение (технологическое присоединение) к централизованной системе холодного водоснабжения</v>
      </c>
      <c r="AI117" s="1184" t="str">
        <f>IF($G$117=0,"",$G$117)</f>
        <v/>
      </c>
      <c r="AJ117" s="1184" t="str">
        <f>IF($J$117=0,"",$J$117)</f>
        <v/>
      </c>
      <c r="AK117" s="1184" t="str">
        <f>IF($K$117="нет","без дифференциации",IF($N$117=0,"",$N$117))</f>
        <v/>
      </c>
      <c r="AL117" s="1184" t="str">
        <f>IF($O$117="нет","без дифференциации",IF($R$117=0,"",$R$117))</f>
        <v/>
      </c>
      <c r="AM117" s="1184" t="str">
        <f>IF($S$117="нет","без дифференциации",IF($V$117=0,"",$V$117))</f>
        <v/>
      </c>
      <c r="AN117" s="1688">
        <f>$I$117</f>
        <v>0</v>
      </c>
      <c r="AO117" s="1184" t="str">
        <f>$I$117&amp;"."&amp;$M$117</f>
        <v>.</v>
      </c>
      <c r="AP117" s="1183" t="str">
        <f>$I$117&amp;"."&amp;$M$117&amp;"."&amp;$Q$117</f>
        <v>..</v>
      </c>
      <c r="AQ117" s="1183" t="str">
        <f>$I$117&amp;"."&amp;$M$117&amp;"."&amp;$Q$117&amp;"."&amp;$U$117</f>
        <v>...</v>
      </c>
      <c r="AR117" s="1384">
        <v>0</v>
      </c>
    </row>
    <row r="118" spans="1:44" s="2028" customFormat="1" ht="17.25" hidden="1" customHeight="1">
      <c r="A118" s="256"/>
      <c r="C118" s="255"/>
      <c r="D118" s="3087"/>
      <c r="E118" s="3094"/>
      <c r="F118" s="3097"/>
      <c r="G118" s="3094"/>
      <c r="H118" s="3100"/>
      <c r="I118" s="3102"/>
      <c r="J118" s="3104"/>
      <c r="K118" s="3089"/>
      <c r="L118" s="3089"/>
      <c r="M118" s="3089"/>
      <c r="N118" s="3091"/>
      <c r="O118" s="3089"/>
      <c r="P118" s="3089"/>
      <c r="Q118" s="3089"/>
      <c r="R118" s="3092"/>
      <c r="S118" s="3089"/>
      <c r="T118" s="1859"/>
      <c r="U118" s="1859"/>
      <c r="V118" s="1859"/>
      <c r="W118" s="1860"/>
      <c r="X118" s="1183"/>
      <c r="Y118" s="1183"/>
      <c r="Z118" s="1183"/>
      <c r="AA118" s="1183"/>
      <c r="AB118" s="1183"/>
      <c r="AC118" s="1183"/>
      <c r="AD118" s="1183"/>
      <c r="AE118" s="1183"/>
      <c r="AF118" s="1183"/>
      <c r="AG118" s="1183"/>
      <c r="AH118" s="1183"/>
      <c r="AI118" s="1183"/>
      <c r="AJ118" s="1183"/>
      <c r="AK118" s="1183"/>
      <c r="AL118" s="1183"/>
      <c r="AM118" s="1183"/>
      <c r="AN118" s="1183"/>
      <c r="AO118" s="1183"/>
      <c r="AP118" s="1183"/>
      <c r="AQ118" s="1183"/>
      <c r="AR118" s="1384">
        <v>0</v>
      </c>
    </row>
    <row r="119" spans="1:44" s="2028" customFormat="1" ht="17.25" hidden="1" customHeight="1">
      <c r="A119" s="256"/>
      <c r="C119" s="255"/>
      <c r="D119" s="3075"/>
      <c r="E119" s="3095"/>
      <c r="F119" s="3097"/>
      <c r="G119" s="3095"/>
      <c r="H119" s="3100"/>
      <c r="I119" s="3102"/>
      <c r="J119" s="3105"/>
      <c r="K119" s="3089"/>
      <c r="L119" s="3089"/>
      <c r="M119" s="3089"/>
      <c r="N119" s="3092"/>
      <c r="O119" s="3089"/>
      <c r="P119" s="1855"/>
      <c r="Q119" s="1859"/>
      <c r="R119" s="1859"/>
      <c r="S119" s="264"/>
      <c r="T119" s="264"/>
      <c r="U119" s="264"/>
      <c r="V119" s="264"/>
      <c r="W119" s="1860"/>
      <c r="X119" s="1183"/>
      <c r="Y119" s="1183"/>
      <c r="Z119" s="1183"/>
      <c r="AA119" s="1183"/>
      <c r="AB119" s="1183"/>
      <c r="AC119" s="1183"/>
      <c r="AD119" s="1183"/>
      <c r="AE119" s="1183"/>
      <c r="AF119" s="1183"/>
      <c r="AG119" s="1183"/>
      <c r="AH119" s="1183"/>
      <c r="AI119" s="1183"/>
      <c r="AJ119" s="1183"/>
      <c r="AK119" s="1183"/>
      <c r="AL119" s="1183"/>
      <c r="AM119" s="1183"/>
      <c r="AN119" s="1183"/>
      <c r="AO119" s="1183"/>
      <c r="AP119" s="1183"/>
      <c r="AQ119" s="1183"/>
      <c r="AR119" s="1384">
        <v>0</v>
      </c>
    </row>
    <row r="120" spans="1:44" s="2028" customFormat="1" ht="17.25" hidden="1" customHeight="1">
      <c r="A120" s="256"/>
      <c r="C120" s="255"/>
      <c r="D120" s="3075"/>
      <c r="E120" s="3095"/>
      <c r="F120" s="3097"/>
      <c r="G120" s="3095"/>
      <c r="H120" s="3100"/>
      <c r="I120" s="3102"/>
      <c r="J120" s="3105"/>
      <c r="K120" s="3089"/>
      <c r="L120" s="1859"/>
      <c r="M120" s="1859"/>
      <c r="N120" s="1859"/>
      <c r="O120" s="1859"/>
      <c r="P120" s="1859"/>
      <c r="Q120" s="1859"/>
      <c r="R120" s="1859"/>
      <c r="S120" s="264"/>
      <c r="T120" s="264"/>
      <c r="U120" s="264"/>
      <c r="V120" s="264"/>
      <c r="W120" s="1860"/>
      <c r="X120" s="1183"/>
      <c r="Y120" s="1183"/>
      <c r="Z120" s="1183"/>
      <c r="AA120" s="1183"/>
      <c r="AB120" s="1183"/>
      <c r="AC120" s="1183"/>
      <c r="AD120" s="1183"/>
      <c r="AE120" s="1183"/>
      <c r="AF120" s="1183"/>
      <c r="AG120" s="1183"/>
      <c r="AH120" s="1183"/>
      <c r="AI120" s="1183"/>
      <c r="AJ120" s="1183"/>
      <c r="AK120" s="1183"/>
      <c r="AL120" s="1183"/>
      <c r="AM120" s="1183"/>
      <c r="AN120" s="1183"/>
      <c r="AO120" s="1183"/>
      <c r="AP120" s="1183"/>
      <c r="AQ120" s="1183"/>
      <c r="AR120" s="1384">
        <v>0</v>
      </c>
    </row>
    <row r="121" spans="1:44" s="2028" customFormat="1" ht="17.25" hidden="1" customHeight="1">
      <c r="A121" s="256"/>
      <c r="C121" s="255"/>
      <c r="D121" s="3075"/>
      <c r="E121" s="3095"/>
      <c r="F121" s="3098"/>
      <c r="G121" s="3095"/>
      <c r="H121" s="1216"/>
      <c r="I121" s="1857"/>
      <c r="J121" s="1857"/>
      <c r="K121" s="1857"/>
      <c r="L121" s="1857"/>
      <c r="M121" s="1857"/>
      <c r="N121" s="1857"/>
      <c r="O121" s="1857"/>
      <c r="P121" s="1857"/>
      <c r="Q121" s="1857"/>
      <c r="R121" s="1857"/>
      <c r="S121" s="1218"/>
      <c r="T121" s="1218"/>
      <c r="U121" s="1218"/>
      <c r="V121" s="1218"/>
      <c r="W121" s="1858"/>
      <c r="X121" s="1183"/>
      <c r="Y121" s="1183"/>
      <c r="Z121" s="1183"/>
      <c r="AA121" s="1183"/>
      <c r="AB121" s="1183"/>
      <c r="AC121" s="1183"/>
      <c r="AD121" s="1183"/>
      <c r="AE121" s="1183"/>
      <c r="AF121" s="1183"/>
      <c r="AG121" s="1183"/>
      <c r="AH121" s="1183"/>
      <c r="AI121" s="1183"/>
      <c r="AJ121" s="1183"/>
      <c r="AK121" s="1183"/>
      <c r="AL121" s="1183"/>
      <c r="AM121" s="1183"/>
      <c r="AN121" s="1183"/>
      <c r="AO121" s="1183"/>
      <c r="AP121" s="1183"/>
      <c r="AQ121" s="1183"/>
      <c r="AR121" s="1384">
        <v>0</v>
      </c>
    </row>
    <row r="122" spans="1:44" s="2028" customFormat="1" ht="11.25" hidden="1" customHeight="1">
      <c r="A122" s="212"/>
      <c r="B122" s="212"/>
      <c r="Y122" s="1176"/>
      <c r="Z122" s="1176"/>
      <c r="AA122" s="1176"/>
      <c r="AB122" s="1176"/>
      <c r="AC122" s="1176"/>
      <c r="AD122" s="1176"/>
      <c r="AE122" s="1176"/>
      <c r="AF122" s="1176"/>
      <c r="AG122" s="1176"/>
      <c r="AH122" s="1176"/>
      <c r="AI122" s="1176"/>
      <c r="AJ122" s="1176"/>
      <c r="AK122" s="1176"/>
      <c r="AL122" s="1176"/>
      <c r="AM122" s="1176"/>
      <c r="AN122" s="1176"/>
      <c r="AO122" s="1176"/>
      <c r="AP122" s="1176"/>
      <c r="AQ122" s="1176"/>
      <c r="AR122" s="1384">
        <v>0</v>
      </c>
    </row>
    <row r="123" spans="1:44" s="2028" customFormat="1" ht="17.25" hidden="1" customHeight="1">
      <c r="A123" s="256"/>
      <c r="C123" s="144"/>
      <c r="D123" s="3087">
        <v>1</v>
      </c>
      <c r="E123" s="3094" t="s">
        <v>284</v>
      </c>
      <c r="F123" s="3096" t="s">
        <v>19</v>
      </c>
      <c r="G123" s="3094"/>
      <c r="H123" s="3099"/>
      <c r="I123" s="3101"/>
      <c r="J123" s="3103"/>
      <c r="K123" s="3088"/>
      <c r="L123" s="3088"/>
      <c r="M123" s="3088"/>
      <c r="N123" s="3090"/>
      <c r="O123" s="3088"/>
      <c r="P123" s="3088"/>
      <c r="Q123" s="3088"/>
      <c r="R123" s="3093"/>
      <c r="S123" s="3088"/>
      <c r="T123" s="1387"/>
      <c r="U123" s="1387"/>
      <c r="V123" s="1389"/>
      <c r="W123" s="1213"/>
      <c r="Y123" s="1184"/>
      <c r="Z123" s="1184"/>
      <c r="AA123" s="1184"/>
      <c r="AB123" s="1184"/>
      <c r="AC123" s="1184" t="s">
        <v>285</v>
      </c>
      <c r="AD123" s="1184" t="s">
        <v>286</v>
      </c>
      <c r="AE123" s="1184" t="s">
        <v>287</v>
      </c>
      <c r="AF123" s="1184" t="s">
        <v>288</v>
      </c>
      <c r="AG123" s="1184"/>
      <c r="AH123" s="1184" t="str">
        <f>IF($E$123=0,"",$E$123)</f>
        <v>Тариф на горячую воду (горячее водоснабжение)</v>
      </c>
      <c r="AI123" s="1184" t="str">
        <f>IF($G$123=0,"",$G$123)</f>
        <v/>
      </c>
      <c r="AJ123" s="1184" t="str">
        <f>IF($J$123=0,"",$J$123)</f>
        <v/>
      </c>
      <c r="AK123" s="1184" t="str">
        <f>IF($K$123="нет","без дифференциации",IF($N$123=0,"",$N$123))</f>
        <v/>
      </c>
      <c r="AL123" s="1184" t="str">
        <f>IF($O$123="нет","без дифференциации",IF($R$123=0,"",$R$123))</f>
        <v/>
      </c>
      <c r="AM123" s="1184" t="str">
        <f>IF($S$123="нет","без дифференциации",IF($V$123=0,"",$V$123))</f>
        <v/>
      </c>
      <c r="AN123" s="1184">
        <f>$I$123</f>
        <v>0</v>
      </c>
      <c r="AO123" s="1184" t="str">
        <f>$I$123&amp;"."&amp;$M$123</f>
        <v>.</v>
      </c>
      <c r="AP123" s="1184" t="str">
        <f>$I$123&amp;"."&amp;$M$123&amp;"."&amp;$Q$123</f>
        <v>..</v>
      </c>
      <c r="AQ123" s="1184" t="str">
        <f>$I$123&amp;"."&amp;$M$123&amp;"."&amp;$Q$123&amp;"."&amp;$U$123</f>
        <v>...</v>
      </c>
      <c r="AR123" s="1384">
        <v>0</v>
      </c>
    </row>
    <row r="124" spans="1:44" s="2028" customFormat="1" ht="17.25" hidden="1" customHeight="1">
      <c r="A124" s="256"/>
      <c r="C124" s="255"/>
      <c r="D124" s="3087"/>
      <c r="E124" s="3094"/>
      <c r="F124" s="3097"/>
      <c r="G124" s="3094"/>
      <c r="H124" s="3100"/>
      <c r="I124" s="3102"/>
      <c r="J124" s="3104"/>
      <c r="K124" s="3089"/>
      <c r="L124" s="3089"/>
      <c r="M124" s="3089"/>
      <c r="N124" s="3091"/>
      <c r="O124" s="3089"/>
      <c r="P124" s="3089"/>
      <c r="Q124" s="3089"/>
      <c r="R124" s="3092"/>
      <c r="S124" s="3089"/>
      <c r="T124" s="1214"/>
      <c r="U124" s="1214"/>
      <c r="V124" s="1214"/>
      <c r="W124" s="1215"/>
      <c r="Y124" s="1176"/>
      <c r="Z124" s="1176"/>
      <c r="AA124" s="1176"/>
      <c r="AB124" s="1176"/>
      <c r="AC124" s="1176"/>
      <c r="AD124" s="1176"/>
      <c r="AE124" s="1176"/>
      <c r="AF124" s="1176"/>
      <c r="AG124" s="1176"/>
      <c r="AH124" s="1176"/>
      <c r="AI124" s="1176"/>
      <c r="AJ124" s="1176"/>
      <c r="AK124" s="1176"/>
      <c r="AL124" s="1176"/>
      <c r="AM124" s="1176"/>
      <c r="AN124" s="1176"/>
      <c r="AO124" s="1176"/>
      <c r="AP124" s="1176"/>
      <c r="AQ124" s="1176"/>
      <c r="AR124" s="1384">
        <v>0</v>
      </c>
    </row>
    <row r="125" spans="1:44" s="2028" customFormat="1" ht="17.25" hidden="1" customHeight="1">
      <c r="A125" s="256"/>
      <c r="C125" s="144"/>
      <c r="D125" s="3087"/>
      <c r="E125" s="3094"/>
      <c r="F125" s="3097"/>
      <c r="G125" s="3094"/>
      <c r="H125" s="3100"/>
      <c r="I125" s="3102"/>
      <c r="J125" s="3105"/>
      <c r="K125" s="3089"/>
      <c r="L125" s="3089"/>
      <c r="M125" s="3089"/>
      <c r="N125" s="3092"/>
      <c r="O125" s="3089"/>
      <c r="P125" s="1388"/>
      <c r="Q125" s="1214"/>
      <c r="R125" s="1214"/>
      <c r="S125" s="264"/>
      <c r="T125" s="264"/>
      <c r="U125" s="264"/>
      <c r="V125" s="264"/>
      <c r="W125" s="1215"/>
      <c r="Y125" s="1184"/>
      <c r="Z125" s="1184"/>
      <c r="AA125" s="1184"/>
      <c r="AB125" s="1184"/>
      <c r="AC125" s="1184"/>
      <c r="AD125" s="1184"/>
      <c r="AE125" s="1184"/>
      <c r="AF125" s="1184"/>
      <c r="AG125" s="1184"/>
      <c r="AH125" s="1184"/>
      <c r="AI125" s="1184"/>
      <c r="AJ125" s="1184"/>
      <c r="AK125" s="1184"/>
      <c r="AL125" s="1184"/>
      <c r="AM125" s="1184"/>
      <c r="AN125" s="1184"/>
      <c r="AO125" s="1184"/>
      <c r="AP125" s="1184"/>
      <c r="AQ125" s="1184"/>
      <c r="AR125" s="1384">
        <v>0</v>
      </c>
    </row>
    <row r="126" spans="1:44" s="2028" customFormat="1" ht="17.25" hidden="1" customHeight="1">
      <c r="A126" s="256"/>
      <c r="C126" s="255"/>
      <c r="D126" s="3087"/>
      <c r="E126" s="3094"/>
      <c r="F126" s="3097"/>
      <c r="G126" s="3094"/>
      <c r="H126" s="3100"/>
      <c r="I126" s="3102"/>
      <c r="J126" s="3105"/>
      <c r="K126" s="3089"/>
      <c r="L126" s="1214"/>
      <c r="M126" s="1214"/>
      <c r="N126" s="1214"/>
      <c r="O126" s="1214"/>
      <c r="P126" s="1214"/>
      <c r="Q126" s="1214"/>
      <c r="R126" s="1214"/>
      <c r="S126" s="264"/>
      <c r="T126" s="264"/>
      <c r="U126" s="264"/>
      <c r="V126" s="264"/>
      <c r="W126" s="1215"/>
      <c r="Y126" s="1176"/>
      <c r="Z126" s="1176"/>
      <c r="AA126" s="1176"/>
      <c r="AB126" s="1176"/>
      <c r="AC126" s="1176"/>
      <c r="AD126" s="1176"/>
      <c r="AE126" s="1176"/>
      <c r="AF126" s="1176"/>
      <c r="AG126" s="1176"/>
      <c r="AH126" s="1176"/>
      <c r="AI126" s="1176"/>
      <c r="AJ126" s="1176"/>
      <c r="AK126" s="1176"/>
      <c r="AL126" s="1176"/>
      <c r="AM126" s="1176"/>
      <c r="AN126" s="1176"/>
      <c r="AO126" s="1176"/>
      <c r="AP126" s="1176"/>
      <c r="AQ126" s="1176"/>
      <c r="AR126" s="1384">
        <v>0</v>
      </c>
    </row>
    <row r="127" spans="1:44" s="2028" customFormat="1" ht="17.25" hidden="1" customHeight="1">
      <c r="A127" s="256"/>
      <c r="C127" s="255"/>
      <c r="D127" s="3075"/>
      <c r="E127" s="3095"/>
      <c r="F127" s="3098"/>
      <c r="G127" s="3095"/>
      <c r="H127" s="1216"/>
      <c r="I127" s="1217"/>
      <c r="J127" s="1217"/>
      <c r="K127" s="1217"/>
      <c r="L127" s="1217"/>
      <c r="M127" s="1217"/>
      <c r="N127" s="1217"/>
      <c r="O127" s="1217"/>
      <c r="P127" s="1217"/>
      <c r="Q127" s="1217"/>
      <c r="R127" s="1217"/>
      <c r="S127" s="1218"/>
      <c r="T127" s="1218"/>
      <c r="U127" s="1218"/>
      <c r="V127" s="1218"/>
      <c r="W127" s="1219"/>
      <c r="Y127" s="1176"/>
      <c r="Z127" s="1176"/>
      <c r="AA127" s="1176"/>
      <c r="AB127" s="1176"/>
      <c r="AC127" s="1176"/>
      <c r="AD127" s="1176"/>
      <c r="AE127" s="1176"/>
      <c r="AF127" s="1176"/>
      <c r="AG127" s="1176"/>
      <c r="AH127" s="1176"/>
      <c r="AI127" s="1176"/>
      <c r="AJ127" s="1176"/>
      <c r="AK127" s="1176"/>
      <c r="AL127" s="1176"/>
      <c r="AM127" s="1176"/>
      <c r="AN127" s="1176"/>
      <c r="AO127" s="1176"/>
      <c r="AP127" s="1176"/>
      <c r="AQ127" s="1176"/>
      <c r="AR127" s="1384">
        <v>0</v>
      </c>
    </row>
    <row r="128" spans="1:44" s="2028" customFormat="1" ht="17.25" hidden="1" customHeight="1">
      <c r="A128" s="256"/>
      <c r="C128" s="144"/>
      <c r="D128" s="3087">
        <v>2</v>
      </c>
      <c r="E128" s="3094" t="s">
        <v>289</v>
      </c>
      <c r="F128" s="3096" t="s">
        <v>19</v>
      </c>
      <c r="G128" s="3094"/>
      <c r="H128" s="3099"/>
      <c r="I128" s="3101"/>
      <c r="J128" s="3103"/>
      <c r="K128" s="3088"/>
      <c r="L128" s="3088"/>
      <c r="M128" s="3088"/>
      <c r="N128" s="3090"/>
      <c r="O128" s="3088"/>
      <c r="P128" s="3088"/>
      <c r="Q128" s="3088"/>
      <c r="R128" s="3093"/>
      <c r="S128" s="3088"/>
      <c r="T128" s="1387"/>
      <c r="U128" s="1387"/>
      <c r="V128" s="1389"/>
      <c r="W128" s="1213"/>
      <c r="X128" s="1184"/>
      <c r="Y128" s="1184"/>
      <c r="Z128" s="1184"/>
      <c r="AA128" s="1184"/>
      <c r="AB128" s="1184"/>
      <c r="AC128" s="1184" t="s">
        <v>290</v>
      </c>
      <c r="AD128" s="1184" t="s">
        <v>291</v>
      </c>
      <c r="AE128" s="1184" t="s">
        <v>292</v>
      </c>
      <c r="AF128" s="1184" t="s">
        <v>293</v>
      </c>
      <c r="AG128" s="1184"/>
      <c r="AH128" s="1184" t="str">
        <f>IF($E$128=0,"",$E$128)</f>
        <v>Тариф на транспортировку горячей воды</v>
      </c>
      <c r="AI128" s="1184" t="str">
        <f>IF($G$128=0,"",$G$128)</f>
        <v/>
      </c>
      <c r="AJ128" s="1184" t="str">
        <f>IF($J$128=0,"",$J$128)</f>
        <v/>
      </c>
      <c r="AK128" s="1184" t="str">
        <f>IF($K$128="нет","без дифференциации",IF($N$128=0,"",$N$128))</f>
        <v/>
      </c>
      <c r="AL128" s="1184" t="str">
        <f>IF($O$128="нет","без дифференциации",IF($R$128=0,"",$R$128))</f>
        <v/>
      </c>
      <c r="AM128" s="1184" t="str">
        <f>IF($S$128="нет","без дифференциации",IF($V$128=0,"",$V$128))</f>
        <v/>
      </c>
      <c r="AN128" s="1688">
        <f>$I$128</f>
        <v>0</v>
      </c>
      <c r="AO128" s="1184" t="str">
        <f>$I$128&amp;"."&amp;$M$128</f>
        <v>.</v>
      </c>
      <c r="AP128" s="1176" t="str">
        <f>$I$128&amp;"."&amp;$M$128&amp;"."&amp;$Q$128</f>
        <v>..</v>
      </c>
      <c r="AQ128" s="1176" t="str">
        <f>$I$128&amp;"."&amp;$M$128&amp;"."&amp;$Q$128&amp;"."&amp;$U$128</f>
        <v>...</v>
      </c>
      <c r="AR128" s="1384">
        <v>0</v>
      </c>
    </row>
    <row r="129" spans="1:44" s="2028" customFormat="1" ht="17.25" hidden="1" customHeight="1">
      <c r="A129" s="256"/>
      <c r="C129" s="255"/>
      <c r="D129" s="3087"/>
      <c r="E129" s="3094"/>
      <c r="F129" s="3097"/>
      <c r="G129" s="3094"/>
      <c r="H129" s="3100"/>
      <c r="I129" s="3102"/>
      <c r="J129" s="3104"/>
      <c r="K129" s="3089"/>
      <c r="L129" s="3089"/>
      <c r="M129" s="3089"/>
      <c r="N129" s="3091"/>
      <c r="O129" s="3089"/>
      <c r="P129" s="3089"/>
      <c r="Q129" s="3089"/>
      <c r="R129" s="3092"/>
      <c r="S129" s="3089"/>
      <c r="T129" s="1214"/>
      <c r="U129" s="1214"/>
      <c r="V129" s="1214"/>
      <c r="W129" s="1215"/>
      <c r="X129" s="1176"/>
      <c r="Y129" s="1176"/>
      <c r="Z129" s="1176"/>
      <c r="AA129" s="1176"/>
      <c r="AB129" s="1176"/>
      <c r="AC129" s="1176"/>
      <c r="AD129" s="1176"/>
      <c r="AE129" s="1176"/>
      <c r="AF129" s="1176"/>
      <c r="AG129" s="1176"/>
      <c r="AH129" s="1176"/>
      <c r="AI129" s="1176"/>
      <c r="AJ129" s="1176"/>
      <c r="AK129" s="1176"/>
      <c r="AL129" s="1176"/>
      <c r="AM129" s="1176"/>
      <c r="AN129" s="1176"/>
      <c r="AO129" s="1176"/>
      <c r="AP129" s="1176"/>
      <c r="AQ129" s="1176"/>
      <c r="AR129" s="1384">
        <v>0</v>
      </c>
    </row>
    <row r="130" spans="1:44" s="2028" customFormat="1" ht="17.25" hidden="1" customHeight="1">
      <c r="A130" s="256"/>
      <c r="C130" s="255"/>
      <c r="D130" s="3075"/>
      <c r="E130" s="3095"/>
      <c r="F130" s="3097"/>
      <c r="G130" s="3095"/>
      <c r="H130" s="3100"/>
      <c r="I130" s="3102"/>
      <c r="J130" s="3105"/>
      <c r="K130" s="3089"/>
      <c r="L130" s="3089"/>
      <c r="M130" s="3089"/>
      <c r="N130" s="3092"/>
      <c r="O130" s="3089"/>
      <c r="P130" s="1388"/>
      <c r="Q130" s="1214"/>
      <c r="R130" s="1214"/>
      <c r="S130" s="264"/>
      <c r="T130" s="264"/>
      <c r="U130" s="264"/>
      <c r="V130" s="264"/>
      <c r="W130" s="1215"/>
      <c r="X130" s="1176"/>
      <c r="Y130" s="1176"/>
      <c r="Z130" s="1176"/>
      <c r="AA130" s="1176"/>
      <c r="AB130" s="1176"/>
      <c r="AC130" s="1176"/>
      <c r="AD130" s="1176"/>
      <c r="AE130" s="1176"/>
      <c r="AF130" s="1176"/>
      <c r="AG130" s="1176"/>
      <c r="AH130" s="1176"/>
      <c r="AI130" s="1176"/>
      <c r="AJ130" s="1176"/>
      <c r="AK130" s="1176"/>
      <c r="AL130" s="1176"/>
      <c r="AM130" s="1176"/>
      <c r="AN130" s="1176"/>
      <c r="AO130" s="1176"/>
      <c r="AP130" s="1176"/>
      <c r="AQ130" s="1176"/>
      <c r="AR130" s="1384">
        <v>0</v>
      </c>
    </row>
    <row r="131" spans="1:44" s="2028" customFormat="1" ht="17.25" hidden="1" customHeight="1">
      <c r="A131" s="256"/>
      <c r="C131" s="255"/>
      <c r="D131" s="3075"/>
      <c r="E131" s="3095"/>
      <c r="F131" s="3097"/>
      <c r="G131" s="3095"/>
      <c r="H131" s="3100"/>
      <c r="I131" s="3102"/>
      <c r="J131" s="3105"/>
      <c r="K131" s="3089"/>
      <c r="L131" s="1214"/>
      <c r="M131" s="1214"/>
      <c r="N131" s="1214"/>
      <c r="O131" s="1214"/>
      <c r="P131" s="1214"/>
      <c r="Q131" s="1214"/>
      <c r="R131" s="1214"/>
      <c r="S131" s="264"/>
      <c r="T131" s="264"/>
      <c r="U131" s="264"/>
      <c r="V131" s="264"/>
      <c r="W131" s="1215"/>
      <c r="X131" s="1176"/>
      <c r="Y131" s="1176"/>
      <c r="Z131" s="1176"/>
      <c r="AA131" s="1176"/>
      <c r="AB131" s="1176"/>
      <c r="AC131" s="1176"/>
      <c r="AD131" s="1176"/>
      <c r="AE131" s="1176"/>
      <c r="AF131" s="1176"/>
      <c r="AG131" s="1176"/>
      <c r="AH131" s="1176"/>
      <c r="AI131" s="1176"/>
      <c r="AJ131" s="1176"/>
      <c r="AK131" s="1176"/>
      <c r="AL131" s="1176"/>
      <c r="AM131" s="1176"/>
      <c r="AN131" s="1176"/>
      <c r="AO131" s="1176"/>
      <c r="AP131" s="1176"/>
      <c r="AQ131" s="1176"/>
      <c r="AR131" s="1384">
        <v>0</v>
      </c>
    </row>
    <row r="132" spans="1:44" s="2028" customFormat="1" ht="17.25" hidden="1" customHeight="1">
      <c r="A132" s="256"/>
      <c r="C132" s="255"/>
      <c r="D132" s="3075"/>
      <c r="E132" s="3095"/>
      <c r="F132" s="3098"/>
      <c r="G132" s="3095"/>
      <c r="H132" s="1216"/>
      <c r="I132" s="1217"/>
      <c r="J132" s="1217"/>
      <c r="K132" s="1217"/>
      <c r="L132" s="1217"/>
      <c r="M132" s="1217"/>
      <c r="N132" s="1217"/>
      <c r="O132" s="1217"/>
      <c r="P132" s="1217"/>
      <c r="Q132" s="1217"/>
      <c r="R132" s="1217"/>
      <c r="S132" s="1218"/>
      <c r="T132" s="1218"/>
      <c r="U132" s="1218"/>
      <c r="V132" s="1218"/>
      <c r="W132" s="1219"/>
      <c r="X132" s="1176"/>
      <c r="Y132" s="1176"/>
      <c r="Z132" s="1176"/>
      <c r="AA132" s="1176"/>
      <c r="AB132" s="1176"/>
      <c r="AC132" s="1176"/>
      <c r="AD132" s="1176"/>
      <c r="AE132" s="1176"/>
      <c r="AF132" s="1176"/>
      <c r="AG132" s="1176"/>
      <c r="AH132" s="1176"/>
      <c r="AI132" s="1176"/>
      <c r="AJ132" s="1176"/>
      <c r="AK132" s="1176"/>
      <c r="AL132" s="1176"/>
      <c r="AM132" s="1176"/>
      <c r="AN132" s="1176"/>
      <c r="AO132" s="1176"/>
      <c r="AP132" s="1176"/>
      <c r="AQ132" s="1176"/>
      <c r="AR132" s="1384">
        <v>0</v>
      </c>
    </row>
    <row r="133" spans="1:44" s="2028" customFormat="1" ht="17.25" hidden="1" customHeight="1">
      <c r="A133" s="256"/>
      <c r="C133" s="144"/>
      <c r="D133" s="3087">
        <v>3</v>
      </c>
      <c r="E133" s="3094" t="s">
        <v>294</v>
      </c>
      <c r="F133" s="3096" t="s">
        <v>19</v>
      </c>
      <c r="G133" s="3094"/>
      <c r="H133" s="3099"/>
      <c r="I133" s="3101"/>
      <c r="J133" s="3103"/>
      <c r="K133" s="3088"/>
      <c r="L133" s="3088"/>
      <c r="M133" s="3088"/>
      <c r="N133" s="3090"/>
      <c r="O133" s="3088"/>
      <c r="P133" s="3088"/>
      <c r="Q133" s="3088"/>
      <c r="R133" s="3093"/>
      <c r="S133" s="3088"/>
      <c r="T133" s="1854"/>
      <c r="U133" s="1854"/>
      <c r="V133" s="1856"/>
      <c r="W133" s="1213"/>
      <c r="X133" s="1184"/>
      <c r="Y133" s="1184"/>
      <c r="Z133" s="1184"/>
      <c r="AA133" s="1184"/>
      <c r="AB133" s="1184"/>
      <c r="AC133" s="1184" t="s">
        <v>295</v>
      </c>
      <c r="AD133" s="1184" t="s">
        <v>296</v>
      </c>
      <c r="AE133" s="1184" t="s">
        <v>297</v>
      </c>
      <c r="AF133" s="1184" t="s">
        <v>298</v>
      </c>
      <c r="AG133" s="1184"/>
      <c r="AH133" s="1184" t="str">
        <f>IF($E$133=0,"",$E$133)</f>
        <v>Тариф на подключение (технологическое присоединение) к централизованной системе горячего водоснабжения</v>
      </c>
      <c r="AI133" s="1184" t="str">
        <f>IF($G$133=0,"",$G$133)</f>
        <v/>
      </c>
      <c r="AJ133" s="1184" t="str">
        <f>IF($J$133=0,"",$J$133)</f>
        <v/>
      </c>
      <c r="AK133" s="1184" t="str">
        <f>IF($K$133="нет","без дифференциации",IF($N$133=0,"",$N$133))</f>
        <v/>
      </c>
      <c r="AL133" s="1184" t="str">
        <f>IF($O$133="нет","без дифференциации",IF($R$133=0,"",$R$133))</f>
        <v/>
      </c>
      <c r="AM133" s="1184" t="str">
        <f>IF($S$133="нет","без дифференциации",IF($V$133=0,"",$V$133))</f>
        <v/>
      </c>
      <c r="AN133" s="1688">
        <f>$I$133</f>
        <v>0</v>
      </c>
      <c r="AO133" s="1184" t="str">
        <f>$I$133&amp;"."&amp;$M$133</f>
        <v>.</v>
      </c>
      <c r="AP133" s="1183" t="str">
        <f>$I$133&amp;"."&amp;$M$133&amp;"."&amp;$Q$133</f>
        <v>..</v>
      </c>
      <c r="AQ133" s="1183" t="str">
        <f>$I$133&amp;"."&amp;$M$133&amp;"."&amp;$Q$133&amp;"."&amp;$U$133</f>
        <v>...</v>
      </c>
      <c r="AR133" s="1384">
        <v>0</v>
      </c>
    </row>
    <row r="134" spans="1:44" s="2028" customFormat="1" ht="17.25" hidden="1" customHeight="1">
      <c r="A134" s="256"/>
      <c r="C134" s="255"/>
      <c r="D134" s="3087"/>
      <c r="E134" s="3094"/>
      <c r="F134" s="3097"/>
      <c r="G134" s="3094"/>
      <c r="H134" s="3100"/>
      <c r="I134" s="3102"/>
      <c r="J134" s="3104"/>
      <c r="K134" s="3089"/>
      <c r="L134" s="3089"/>
      <c r="M134" s="3089"/>
      <c r="N134" s="3091"/>
      <c r="O134" s="3089"/>
      <c r="P134" s="3089"/>
      <c r="Q134" s="3089"/>
      <c r="R134" s="3092"/>
      <c r="S134" s="3089"/>
      <c r="T134" s="1859"/>
      <c r="U134" s="1859"/>
      <c r="V134" s="1859"/>
      <c r="W134" s="1860"/>
      <c r="X134" s="1183"/>
      <c r="Y134" s="1183"/>
      <c r="Z134" s="1183"/>
      <c r="AA134" s="1183"/>
      <c r="AB134" s="1183"/>
      <c r="AC134" s="1183"/>
      <c r="AD134" s="1183"/>
      <c r="AE134" s="1183"/>
      <c r="AF134" s="1183"/>
      <c r="AG134" s="1183"/>
      <c r="AH134" s="1183"/>
      <c r="AI134" s="1183"/>
      <c r="AJ134" s="1183"/>
      <c r="AK134" s="1183"/>
      <c r="AL134" s="1183"/>
      <c r="AM134" s="1183"/>
      <c r="AN134" s="1183"/>
      <c r="AO134" s="1183"/>
      <c r="AP134" s="1183"/>
      <c r="AQ134" s="1183"/>
      <c r="AR134" s="1384">
        <v>0</v>
      </c>
    </row>
    <row r="135" spans="1:44" s="2028" customFormat="1" ht="17.25" hidden="1" customHeight="1">
      <c r="A135" s="256"/>
      <c r="C135" s="255"/>
      <c r="D135" s="3075"/>
      <c r="E135" s="3095"/>
      <c r="F135" s="3097"/>
      <c r="G135" s="3095"/>
      <c r="H135" s="3100"/>
      <c r="I135" s="3102"/>
      <c r="J135" s="3105"/>
      <c r="K135" s="3089"/>
      <c r="L135" s="3089"/>
      <c r="M135" s="3089"/>
      <c r="N135" s="3092"/>
      <c r="O135" s="3089"/>
      <c r="P135" s="1855"/>
      <c r="Q135" s="1859"/>
      <c r="R135" s="1859"/>
      <c r="S135" s="264"/>
      <c r="T135" s="264"/>
      <c r="U135" s="264"/>
      <c r="V135" s="264"/>
      <c r="W135" s="1860"/>
      <c r="X135" s="1183"/>
      <c r="Y135" s="1183"/>
      <c r="Z135" s="1183"/>
      <c r="AA135" s="1183"/>
      <c r="AB135" s="1183"/>
      <c r="AC135" s="1183"/>
      <c r="AD135" s="1183"/>
      <c r="AE135" s="1183"/>
      <c r="AF135" s="1183"/>
      <c r="AG135" s="1183"/>
      <c r="AH135" s="1183"/>
      <c r="AI135" s="1183"/>
      <c r="AJ135" s="1183"/>
      <c r="AK135" s="1183"/>
      <c r="AL135" s="1183"/>
      <c r="AM135" s="1183"/>
      <c r="AN135" s="1183"/>
      <c r="AO135" s="1183"/>
      <c r="AP135" s="1183"/>
      <c r="AQ135" s="1183"/>
      <c r="AR135" s="1384">
        <v>0</v>
      </c>
    </row>
    <row r="136" spans="1:44" s="2028" customFormat="1" ht="17.25" hidden="1" customHeight="1">
      <c r="A136" s="256"/>
      <c r="C136" s="255"/>
      <c r="D136" s="3075"/>
      <c r="E136" s="3095"/>
      <c r="F136" s="3097"/>
      <c r="G136" s="3095"/>
      <c r="H136" s="3100"/>
      <c r="I136" s="3102"/>
      <c r="J136" s="3105"/>
      <c r="K136" s="3089"/>
      <c r="L136" s="1859"/>
      <c r="M136" s="1859"/>
      <c r="N136" s="1859"/>
      <c r="O136" s="1859"/>
      <c r="P136" s="1859"/>
      <c r="Q136" s="1859"/>
      <c r="R136" s="1859"/>
      <c r="S136" s="264"/>
      <c r="T136" s="264"/>
      <c r="U136" s="264"/>
      <c r="V136" s="264"/>
      <c r="W136" s="1860"/>
      <c r="X136" s="1183"/>
      <c r="Y136" s="1183"/>
      <c r="Z136" s="1183"/>
      <c r="AA136" s="1183"/>
      <c r="AB136" s="1183"/>
      <c r="AC136" s="1183"/>
      <c r="AD136" s="1183"/>
      <c r="AE136" s="1183"/>
      <c r="AF136" s="1183"/>
      <c r="AG136" s="1183"/>
      <c r="AH136" s="1183"/>
      <c r="AI136" s="1183"/>
      <c r="AJ136" s="1183"/>
      <c r="AK136" s="1183"/>
      <c r="AL136" s="1183"/>
      <c r="AM136" s="1183"/>
      <c r="AN136" s="1183"/>
      <c r="AO136" s="1183"/>
      <c r="AP136" s="1183"/>
      <c r="AQ136" s="1183"/>
      <c r="AR136" s="1384">
        <v>0</v>
      </c>
    </row>
    <row r="137" spans="1:44" s="2028" customFormat="1" ht="17.25" hidden="1" customHeight="1">
      <c r="A137" s="256"/>
      <c r="C137" s="255"/>
      <c r="D137" s="3075"/>
      <c r="E137" s="3095"/>
      <c r="F137" s="3098"/>
      <c r="G137" s="3095"/>
      <c r="H137" s="1216"/>
      <c r="I137" s="1857"/>
      <c r="J137" s="1857"/>
      <c r="K137" s="1857"/>
      <c r="L137" s="1857"/>
      <c r="M137" s="1857"/>
      <c r="N137" s="1857"/>
      <c r="O137" s="1857"/>
      <c r="P137" s="1857"/>
      <c r="Q137" s="1857"/>
      <c r="R137" s="1857"/>
      <c r="S137" s="1218"/>
      <c r="T137" s="1218"/>
      <c r="U137" s="1218"/>
      <c r="V137" s="1218"/>
      <c r="W137" s="1858"/>
      <c r="X137" s="1183"/>
      <c r="Y137" s="1183"/>
      <c r="Z137" s="1183"/>
      <c r="AA137" s="1183"/>
      <c r="AB137" s="1183"/>
      <c r="AC137" s="1183"/>
      <c r="AD137" s="1183"/>
      <c r="AE137" s="1183"/>
      <c r="AF137" s="1183"/>
      <c r="AG137" s="1183"/>
      <c r="AH137" s="1183"/>
      <c r="AI137" s="1183"/>
      <c r="AJ137" s="1183"/>
      <c r="AK137" s="1183"/>
      <c r="AL137" s="1183"/>
      <c r="AM137" s="1183"/>
      <c r="AN137" s="1183"/>
      <c r="AO137" s="1183"/>
      <c r="AP137" s="1183"/>
      <c r="AQ137" s="1183"/>
      <c r="AR137" s="1384">
        <v>0</v>
      </c>
    </row>
    <row r="138" spans="1:44" s="2028" customFormat="1" ht="11.25" hidden="1" customHeight="1">
      <c r="A138" s="212"/>
      <c r="B138" s="212"/>
      <c r="Y138" s="1176"/>
      <c r="Z138" s="1176"/>
      <c r="AA138" s="1176"/>
      <c r="AB138" s="1176"/>
      <c r="AC138" s="1176"/>
      <c r="AD138" s="1176"/>
      <c r="AE138" s="1176"/>
      <c r="AF138" s="1176"/>
      <c r="AG138" s="1176"/>
      <c r="AH138" s="1176"/>
      <c r="AI138" s="1176"/>
      <c r="AJ138" s="1176"/>
      <c r="AK138" s="1176"/>
      <c r="AL138" s="1176"/>
      <c r="AM138" s="1176"/>
      <c r="AN138" s="1176"/>
      <c r="AO138" s="1176"/>
      <c r="AP138" s="1176"/>
      <c r="AQ138" s="1176"/>
      <c r="AR138" s="1384">
        <v>0</v>
      </c>
    </row>
    <row r="139" spans="1:44" s="2028" customFormat="1" ht="17.25" hidden="1" customHeight="1">
      <c r="A139" s="256"/>
      <c r="C139" s="144"/>
      <c r="D139" s="3087">
        <v>1</v>
      </c>
      <c r="E139" s="3094" t="s">
        <v>299</v>
      </c>
      <c r="F139" s="3096" t="s">
        <v>19</v>
      </c>
      <c r="G139" s="3094"/>
      <c r="H139" s="3099"/>
      <c r="I139" s="3101"/>
      <c r="J139" s="3103"/>
      <c r="K139" s="3088"/>
      <c r="L139" s="3088"/>
      <c r="M139" s="3088"/>
      <c r="N139" s="3090"/>
      <c r="O139" s="3088"/>
      <c r="P139" s="3088"/>
      <c r="Q139" s="3088"/>
      <c r="R139" s="3093"/>
      <c r="S139" s="3088"/>
      <c r="T139" s="1387"/>
      <c r="U139" s="1387"/>
      <c r="V139" s="1389"/>
      <c r="W139" s="1213"/>
      <c r="Y139" s="1184"/>
      <c r="Z139" s="1184"/>
      <c r="AA139" s="1184"/>
      <c r="AB139" s="1184"/>
      <c r="AC139" s="1184" t="s">
        <v>300</v>
      </c>
      <c r="AD139" s="1184" t="s">
        <v>301</v>
      </c>
      <c r="AE139" s="1184" t="s">
        <v>302</v>
      </c>
      <c r="AF139" s="1184" t="s">
        <v>303</v>
      </c>
      <c r="AG139" s="1184"/>
      <c r="AH139" s="1184" t="str">
        <f>IF($E$139=0,"",$E$139)</f>
        <v>Тариф на водоотведение</v>
      </c>
      <c r="AI139" s="1184" t="str">
        <f>IF($G$139=0,"",$G$139)</f>
        <v/>
      </c>
      <c r="AJ139" s="1184" t="str">
        <f>IF($J$139=0,"",$J$139)</f>
        <v/>
      </c>
      <c r="AK139" s="1184" t="str">
        <f>IF($K$139="нет","без дифференциации",IF($N$139=0,"",$N$139))</f>
        <v/>
      </c>
      <c r="AL139" s="1184" t="str">
        <f>IF($O$139="нет","без дифференциации",IF($R$139=0,"",$R$139))</f>
        <v/>
      </c>
      <c r="AM139" s="1184" t="str">
        <f>IF($S$139="нет","без дифференциации",IF($V$139=0,"",$V$139))</f>
        <v/>
      </c>
      <c r="AN139" s="1184">
        <f>$I$139</f>
        <v>0</v>
      </c>
      <c r="AO139" s="1184" t="str">
        <f>$I$139&amp;"."&amp;$M$139</f>
        <v>.</v>
      </c>
      <c r="AP139" s="1184" t="str">
        <f>$I$139&amp;"."&amp;$M$139&amp;"."&amp;$Q$139</f>
        <v>..</v>
      </c>
      <c r="AQ139" s="1184" t="str">
        <f>$I$139&amp;"."&amp;$M$139&amp;"."&amp;$Q$139&amp;"."&amp;$U$139</f>
        <v>...</v>
      </c>
      <c r="AR139" s="1384">
        <v>0</v>
      </c>
    </row>
    <row r="140" spans="1:44" s="2028" customFormat="1" ht="17.25" hidden="1" customHeight="1">
      <c r="A140" s="256"/>
      <c r="C140" s="255"/>
      <c r="D140" s="3087"/>
      <c r="E140" s="3094"/>
      <c r="F140" s="3097"/>
      <c r="G140" s="3094"/>
      <c r="H140" s="3100"/>
      <c r="I140" s="3102"/>
      <c r="J140" s="3104"/>
      <c r="K140" s="3089"/>
      <c r="L140" s="3089"/>
      <c r="M140" s="3089"/>
      <c r="N140" s="3091"/>
      <c r="O140" s="3089"/>
      <c r="P140" s="3089"/>
      <c r="Q140" s="3089"/>
      <c r="R140" s="3092"/>
      <c r="S140" s="3089"/>
      <c r="T140" s="1214"/>
      <c r="U140" s="1214"/>
      <c r="V140" s="1214"/>
      <c r="W140" s="1215"/>
      <c r="Y140" s="1176"/>
      <c r="Z140" s="1176"/>
      <c r="AA140" s="1176"/>
      <c r="AB140" s="1176"/>
      <c r="AC140" s="1176"/>
      <c r="AD140" s="1176"/>
      <c r="AE140" s="1176"/>
      <c r="AF140" s="1176"/>
      <c r="AG140" s="1176"/>
      <c r="AH140" s="1176"/>
      <c r="AI140" s="1176"/>
      <c r="AJ140" s="1176"/>
      <c r="AK140" s="1176"/>
      <c r="AL140" s="1176"/>
      <c r="AM140" s="1176"/>
      <c r="AN140" s="1176"/>
      <c r="AO140" s="1176"/>
      <c r="AP140" s="1176"/>
      <c r="AQ140" s="1176"/>
      <c r="AR140" s="1384">
        <v>0</v>
      </c>
    </row>
    <row r="141" spans="1:44" s="2028" customFormat="1" ht="17.25" hidden="1" customHeight="1">
      <c r="A141" s="256"/>
      <c r="C141" s="144"/>
      <c r="D141" s="3087"/>
      <c r="E141" s="3094"/>
      <c r="F141" s="3097"/>
      <c r="G141" s="3094"/>
      <c r="H141" s="3100"/>
      <c r="I141" s="3102"/>
      <c r="J141" s="3105"/>
      <c r="K141" s="3089"/>
      <c r="L141" s="3089"/>
      <c r="M141" s="3089"/>
      <c r="N141" s="3092"/>
      <c r="O141" s="3089"/>
      <c r="P141" s="1388"/>
      <c r="Q141" s="1214"/>
      <c r="R141" s="1214"/>
      <c r="S141" s="264"/>
      <c r="T141" s="264"/>
      <c r="U141" s="264"/>
      <c r="V141" s="264"/>
      <c r="W141" s="1215"/>
      <c r="Y141" s="1184"/>
      <c r="Z141" s="1184"/>
      <c r="AA141" s="1184"/>
      <c r="AB141" s="1184"/>
      <c r="AC141" s="1184"/>
      <c r="AD141" s="1184"/>
      <c r="AE141" s="1184"/>
      <c r="AF141" s="1184"/>
      <c r="AG141" s="1184"/>
      <c r="AH141" s="1184"/>
      <c r="AI141" s="1184"/>
      <c r="AJ141" s="1184"/>
      <c r="AK141" s="1184"/>
      <c r="AL141" s="1184"/>
      <c r="AM141" s="1184"/>
      <c r="AN141" s="1184"/>
      <c r="AO141" s="1184"/>
      <c r="AP141" s="1184"/>
      <c r="AQ141" s="1184"/>
      <c r="AR141" s="1384">
        <v>0</v>
      </c>
    </row>
    <row r="142" spans="1:44" s="2028" customFormat="1" ht="17.25" hidden="1" customHeight="1">
      <c r="A142" s="256"/>
      <c r="C142" s="255"/>
      <c r="D142" s="3087"/>
      <c r="E142" s="3094"/>
      <c r="F142" s="3097"/>
      <c r="G142" s="3094"/>
      <c r="H142" s="3100"/>
      <c r="I142" s="3102"/>
      <c r="J142" s="3105"/>
      <c r="K142" s="3089"/>
      <c r="L142" s="1214"/>
      <c r="M142" s="1214"/>
      <c r="N142" s="1214"/>
      <c r="O142" s="1214"/>
      <c r="P142" s="1214"/>
      <c r="Q142" s="1214"/>
      <c r="R142" s="1214"/>
      <c r="S142" s="264"/>
      <c r="T142" s="264"/>
      <c r="U142" s="264"/>
      <c r="V142" s="264"/>
      <c r="W142" s="1215"/>
      <c r="Y142" s="1176"/>
      <c r="Z142" s="1176"/>
      <c r="AA142" s="1176"/>
      <c r="AB142" s="1176"/>
      <c r="AC142" s="1176"/>
      <c r="AD142" s="1176"/>
      <c r="AE142" s="1176"/>
      <c r="AF142" s="1176"/>
      <c r="AG142" s="1176"/>
      <c r="AH142" s="1176"/>
      <c r="AI142" s="1176"/>
      <c r="AJ142" s="1176"/>
      <c r="AK142" s="1176"/>
      <c r="AL142" s="1176"/>
      <c r="AM142" s="1176"/>
      <c r="AN142" s="1176"/>
      <c r="AO142" s="1176"/>
      <c r="AP142" s="1176"/>
      <c r="AQ142" s="1176"/>
      <c r="AR142" s="1384">
        <v>0</v>
      </c>
    </row>
    <row r="143" spans="1:44" s="2028" customFormat="1" ht="17.25" hidden="1" customHeight="1">
      <c r="A143" s="256"/>
      <c r="C143" s="255"/>
      <c r="D143" s="3075"/>
      <c r="E143" s="3095"/>
      <c r="F143" s="3098"/>
      <c r="G143" s="3095"/>
      <c r="H143" s="1216"/>
      <c r="I143" s="1217"/>
      <c r="J143" s="1217"/>
      <c r="K143" s="1217"/>
      <c r="L143" s="1217"/>
      <c r="M143" s="1217"/>
      <c r="N143" s="1217"/>
      <c r="O143" s="1217"/>
      <c r="P143" s="1217"/>
      <c r="Q143" s="1217"/>
      <c r="R143" s="1217"/>
      <c r="S143" s="1218"/>
      <c r="T143" s="1218"/>
      <c r="U143" s="1218"/>
      <c r="V143" s="1218"/>
      <c r="W143" s="1219"/>
      <c r="Y143" s="1176"/>
      <c r="Z143" s="1176"/>
      <c r="AA143" s="1176"/>
      <c r="AB143" s="1176"/>
      <c r="AC143" s="1176"/>
      <c r="AD143" s="1176"/>
      <c r="AE143" s="1176"/>
      <c r="AF143" s="1176"/>
      <c r="AG143" s="1176"/>
      <c r="AH143" s="1176"/>
      <c r="AI143" s="1176"/>
      <c r="AJ143" s="1176"/>
      <c r="AK143" s="1176"/>
      <c r="AL143" s="1176"/>
      <c r="AM143" s="1176"/>
      <c r="AN143" s="1176"/>
      <c r="AO143" s="1176"/>
      <c r="AP143" s="1176"/>
      <c r="AQ143" s="1176"/>
      <c r="AR143" s="1384">
        <v>0</v>
      </c>
    </row>
    <row r="144" spans="1:44" s="2028" customFormat="1" ht="17.25" hidden="1" customHeight="1">
      <c r="A144" s="256"/>
      <c r="C144" s="144"/>
      <c r="D144" s="3087">
        <v>2</v>
      </c>
      <c r="E144" s="3094" t="s">
        <v>304</v>
      </c>
      <c r="F144" s="3096" t="s">
        <v>19</v>
      </c>
      <c r="G144" s="3094"/>
      <c r="H144" s="3099"/>
      <c r="I144" s="3101"/>
      <c r="J144" s="3103"/>
      <c r="K144" s="3088"/>
      <c r="L144" s="3088"/>
      <c r="M144" s="3088"/>
      <c r="N144" s="3090"/>
      <c r="O144" s="3088"/>
      <c r="P144" s="3088"/>
      <c r="Q144" s="3088"/>
      <c r="R144" s="3093"/>
      <c r="S144" s="3088"/>
      <c r="T144" s="1387"/>
      <c r="U144" s="1387"/>
      <c r="V144" s="1389"/>
      <c r="W144" s="1213"/>
      <c r="X144" s="1184"/>
      <c r="Y144" s="1184"/>
      <c r="Z144" s="1184"/>
      <c r="AA144" s="1184"/>
      <c r="AB144" s="1184"/>
      <c r="AC144" s="1184" t="s">
        <v>305</v>
      </c>
      <c r="AD144" s="1184" t="s">
        <v>306</v>
      </c>
      <c r="AE144" s="1184" t="s">
        <v>307</v>
      </c>
      <c r="AF144" s="1184" t="s">
        <v>308</v>
      </c>
      <c r="AG144" s="1184"/>
      <c r="AH144" s="1184" t="str">
        <f>IF($E$144=0,"",$E$144)</f>
        <v>Тариф на транспортировку сточных вод</v>
      </c>
      <c r="AI144" s="1184" t="str">
        <f>IF($G$144=0,"",$G$144)</f>
        <v/>
      </c>
      <c r="AJ144" s="1184" t="str">
        <f>IF($J$144=0,"",$J$144)</f>
        <v/>
      </c>
      <c r="AK144" s="1184" t="str">
        <f>IF($K$144="нет","без дифференциации",IF($N$144=0,"",$N$144))</f>
        <v/>
      </c>
      <c r="AL144" s="1184" t="str">
        <f>IF($O$144="нет","без дифференциации",IF($R$144=0,"",$R$144))</f>
        <v/>
      </c>
      <c r="AM144" s="1184" t="str">
        <f>IF($S$144="нет","без дифференциации",IF($V$144=0,"",$V$144))</f>
        <v/>
      </c>
      <c r="AN144" s="1688">
        <f>$I$144</f>
        <v>0</v>
      </c>
      <c r="AO144" s="1184" t="str">
        <f>$I$144&amp;"."&amp;$M$144</f>
        <v>.</v>
      </c>
      <c r="AP144" s="1176" t="str">
        <f>$I$144&amp;"."&amp;$M$144&amp;"."&amp;$Q$144</f>
        <v>..</v>
      </c>
      <c r="AQ144" s="1176" t="str">
        <f>$I$144&amp;"."&amp;$M$144&amp;"."&amp;$Q$144&amp;"."&amp;$U$144</f>
        <v>...</v>
      </c>
      <c r="AR144" s="1384">
        <v>0</v>
      </c>
    </row>
    <row r="145" spans="1:44" s="2028" customFormat="1" ht="17.25" hidden="1" customHeight="1">
      <c r="A145" s="256"/>
      <c r="C145" s="255"/>
      <c r="D145" s="3087"/>
      <c r="E145" s="3094"/>
      <c r="F145" s="3097"/>
      <c r="G145" s="3094"/>
      <c r="H145" s="3100"/>
      <c r="I145" s="3102"/>
      <c r="J145" s="3104"/>
      <c r="K145" s="3089"/>
      <c r="L145" s="3089"/>
      <c r="M145" s="3089"/>
      <c r="N145" s="3091"/>
      <c r="O145" s="3089"/>
      <c r="P145" s="3089"/>
      <c r="Q145" s="3089"/>
      <c r="R145" s="3092"/>
      <c r="S145" s="3089"/>
      <c r="T145" s="1214"/>
      <c r="U145" s="1214"/>
      <c r="V145" s="1214"/>
      <c r="W145" s="1215"/>
      <c r="X145" s="1176"/>
      <c r="Y145" s="1176"/>
      <c r="Z145" s="1176"/>
      <c r="AA145" s="1176"/>
      <c r="AB145" s="1176"/>
      <c r="AC145" s="1176"/>
      <c r="AD145" s="1176"/>
      <c r="AE145" s="1176"/>
      <c r="AF145" s="1176"/>
      <c r="AG145" s="1176"/>
      <c r="AH145" s="1176"/>
      <c r="AI145" s="1176"/>
      <c r="AJ145" s="1176"/>
      <c r="AK145" s="1176"/>
      <c r="AL145" s="1176"/>
      <c r="AM145" s="1176"/>
      <c r="AN145" s="1176"/>
      <c r="AO145" s="1176"/>
      <c r="AP145" s="1176"/>
      <c r="AQ145" s="1176"/>
      <c r="AR145" s="1384">
        <v>0</v>
      </c>
    </row>
    <row r="146" spans="1:44" s="2028" customFormat="1" ht="17.25" hidden="1" customHeight="1">
      <c r="A146" s="256"/>
      <c r="C146" s="255"/>
      <c r="D146" s="3075"/>
      <c r="E146" s="3095"/>
      <c r="F146" s="3097"/>
      <c r="G146" s="3095"/>
      <c r="H146" s="3100"/>
      <c r="I146" s="3102"/>
      <c r="J146" s="3105"/>
      <c r="K146" s="3089"/>
      <c r="L146" s="3089"/>
      <c r="M146" s="3089"/>
      <c r="N146" s="3092"/>
      <c r="O146" s="3089"/>
      <c r="P146" s="1388"/>
      <c r="Q146" s="1214"/>
      <c r="R146" s="1214"/>
      <c r="S146" s="264"/>
      <c r="T146" s="264"/>
      <c r="U146" s="264"/>
      <c r="V146" s="264"/>
      <c r="W146" s="1215"/>
      <c r="X146" s="1176"/>
      <c r="Y146" s="1176"/>
      <c r="Z146" s="1176"/>
      <c r="AA146" s="1176"/>
      <c r="AB146" s="1176"/>
      <c r="AC146" s="1176"/>
      <c r="AD146" s="1176"/>
      <c r="AE146" s="1176"/>
      <c r="AF146" s="1176"/>
      <c r="AG146" s="1176"/>
      <c r="AH146" s="1176"/>
      <c r="AI146" s="1176"/>
      <c r="AJ146" s="1176"/>
      <c r="AK146" s="1176"/>
      <c r="AL146" s="1176"/>
      <c r="AM146" s="1176"/>
      <c r="AN146" s="1176"/>
      <c r="AO146" s="1176"/>
      <c r="AP146" s="1176"/>
      <c r="AQ146" s="1176"/>
      <c r="AR146" s="1384">
        <v>0</v>
      </c>
    </row>
    <row r="147" spans="1:44" s="2028" customFormat="1" ht="17.25" hidden="1" customHeight="1">
      <c r="A147" s="256"/>
      <c r="C147" s="255"/>
      <c r="D147" s="3075"/>
      <c r="E147" s="3095"/>
      <c r="F147" s="3097"/>
      <c r="G147" s="3095"/>
      <c r="H147" s="3100"/>
      <c r="I147" s="3102"/>
      <c r="J147" s="3105"/>
      <c r="K147" s="3089"/>
      <c r="L147" s="1214"/>
      <c r="M147" s="1214"/>
      <c r="N147" s="1214"/>
      <c r="O147" s="1214"/>
      <c r="P147" s="1214"/>
      <c r="Q147" s="1214"/>
      <c r="R147" s="1214"/>
      <c r="S147" s="264"/>
      <c r="T147" s="264"/>
      <c r="U147" s="264"/>
      <c r="V147" s="264"/>
      <c r="W147" s="1215"/>
      <c r="X147" s="1176"/>
      <c r="Y147" s="1176"/>
      <c r="Z147" s="1176"/>
      <c r="AA147" s="1176"/>
      <c r="AB147" s="1176"/>
      <c r="AC147" s="1176"/>
      <c r="AD147" s="1176"/>
      <c r="AE147" s="1176"/>
      <c r="AF147" s="1176"/>
      <c r="AG147" s="1176"/>
      <c r="AH147" s="1176"/>
      <c r="AI147" s="1176"/>
      <c r="AJ147" s="1176"/>
      <c r="AK147" s="1176"/>
      <c r="AL147" s="1176"/>
      <c r="AM147" s="1176"/>
      <c r="AN147" s="1176"/>
      <c r="AO147" s="1176"/>
      <c r="AP147" s="1176"/>
      <c r="AQ147" s="1176"/>
      <c r="AR147" s="1384">
        <v>0</v>
      </c>
    </row>
    <row r="148" spans="1:44" s="2028" customFormat="1" ht="17.25" hidden="1" customHeight="1">
      <c r="A148" s="256"/>
      <c r="C148" s="255"/>
      <c r="D148" s="3075"/>
      <c r="E148" s="3095"/>
      <c r="F148" s="3098"/>
      <c r="G148" s="3095"/>
      <c r="H148" s="1216"/>
      <c r="I148" s="1217"/>
      <c r="J148" s="1217"/>
      <c r="K148" s="1217"/>
      <c r="L148" s="1217"/>
      <c r="M148" s="1217"/>
      <c r="N148" s="1217"/>
      <c r="O148" s="1217"/>
      <c r="P148" s="1217"/>
      <c r="Q148" s="1217"/>
      <c r="R148" s="1217"/>
      <c r="S148" s="1218"/>
      <c r="T148" s="1218"/>
      <c r="U148" s="1218"/>
      <c r="V148" s="1218"/>
      <c r="W148" s="1219"/>
      <c r="X148" s="1176"/>
      <c r="Y148" s="1176"/>
      <c r="Z148" s="1176"/>
      <c r="AA148" s="1176"/>
      <c r="AB148" s="1176"/>
      <c r="AC148" s="1176"/>
      <c r="AD148" s="1176"/>
      <c r="AE148" s="1176"/>
      <c r="AF148" s="1176"/>
      <c r="AG148" s="1176"/>
      <c r="AH148" s="1176"/>
      <c r="AI148" s="1176"/>
      <c r="AJ148" s="1176"/>
      <c r="AK148" s="1176"/>
      <c r="AL148" s="1176"/>
      <c r="AM148" s="1176"/>
      <c r="AN148" s="1176"/>
      <c r="AO148" s="1176"/>
      <c r="AP148" s="1176"/>
      <c r="AQ148" s="1176"/>
      <c r="AR148" s="1384">
        <v>0</v>
      </c>
    </row>
    <row r="149" spans="1:44" s="2028" customFormat="1" ht="17.25" hidden="1" customHeight="1">
      <c r="A149" s="256"/>
      <c r="C149" s="144"/>
      <c r="D149" s="3087">
        <v>3</v>
      </c>
      <c r="E149" s="3094" t="s">
        <v>309</v>
      </c>
      <c r="F149" s="3096" t="s">
        <v>19</v>
      </c>
      <c r="G149" s="3094"/>
      <c r="H149" s="3099"/>
      <c r="I149" s="3101"/>
      <c r="J149" s="3103"/>
      <c r="K149" s="3088"/>
      <c r="L149" s="3088"/>
      <c r="M149" s="3088"/>
      <c r="N149" s="3090"/>
      <c r="O149" s="3088"/>
      <c r="P149" s="3088"/>
      <c r="Q149" s="3088"/>
      <c r="R149" s="3093"/>
      <c r="S149" s="3088"/>
      <c r="T149" s="1854"/>
      <c r="U149" s="1854"/>
      <c r="V149" s="1856"/>
      <c r="W149" s="1213"/>
      <c r="X149" s="1184"/>
      <c r="Y149" s="1184"/>
      <c r="Z149" s="1184"/>
      <c r="AA149" s="1184"/>
      <c r="AB149" s="1184"/>
      <c r="AC149" s="1184" t="s">
        <v>310</v>
      </c>
      <c r="AD149" s="1184" t="s">
        <v>311</v>
      </c>
      <c r="AE149" s="1184" t="s">
        <v>312</v>
      </c>
      <c r="AF149" s="1184" t="s">
        <v>313</v>
      </c>
      <c r="AG149" s="1184"/>
      <c r="AH149" s="1184" t="str">
        <f>IF($E$149=0,"",$E$149)</f>
        <v>Тариф на подключение (технологическое присоединение) к централизованной системе водоотведения</v>
      </c>
      <c r="AI149" s="1184" t="str">
        <f>IF($G$149=0,"",$G$149)</f>
        <v/>
      </c>
      <c r="AJ149" s="1184" t="str">
        <f>IF($J$149=0,"",$J$149)</f>
        <v/>
      </c>
      <c r="AK149" s="1184" t="str">
        <f>IF($K$149="нет","без дифференциации",IF($N$149=0,"",$N$149))</f>
        <v/>
      </c>
      <c r="AL149" s="1184" t="str">
        <f>IF($O$149="нет","без дифференциации",IF($R$149=0,"",$R$149))</f>
        <v/>
      </c>
      <c r="AM149" s="1184" t="str">
        <f>IF($S$149="нет","без дифференциации",IF($V$149=0,"",$V$149))</f>
        <v/>
      </c>
      <c r="AN149" s="1688">
        <f>$I$149</f>
        <v>0</v>
      </c>
      <c r="AO149" s="1184" t="str">
        <f>$I$149&amp;"."&amp;$M$149</f>
        <v>.</v>
      </c>
      <c r="AP149" s="1183" t="str">
        <f>$I$149&amp;"."&amp;$M$149&amp;"."&amp;$Q$149</f>
        <v>..</v>
      </c>
      <c r="AQ149" s="1183" t="str">
        <f>$I$149&amp;"."&amp;$M$149&amp;"."&amp;$Q$149&amp;"."&amp;$U$149</f>
        <v>...</v>
      </c>
      <c r="AR149" s="1384">
        <v>0</v>
      </c>
    </row>
    <row r="150" spans="1:44" s="2028" customFormat="1" ht="17.25" hidden="1" customHeight="1">
      <c r="A150" s="256"/>
      <c r="C150" s="255"/>
      <c r="D150" s="3087"/>
      <c r="E150" s="3094"/>
      <c r="F150" s="3097"/>
      <c r="G150" s="3094"/>
      <c r="H150" s="3100"/>
      <c r="I150" s="3102"/>
      <c r="J150" s="3104"/>
      <c r="K150" s="3089"/>
      <c r="L150" s="3089"/>
      <c r="M150" s="3089"/>
      <c r="N150" s="3091"/>
      <c r="O150" s="3089"/>
      <c r="P150" s="3089"/>
      <c r="Q150" s="3089"/>
      <c r="R150" s="3092"/>
      <c r="S150" s="3089"/>
      <c r="T150" s="1859"/>
      <c r="U150" s="1859"/>
      <c r="V150" s="1859"/>
      <c r="W150" s="1860"/>
      <c r="X150" s="1183"/>
      <c r="Y150" s="1183"/>
      <c r="Z150" s="1183"/>
      <c r="AA150" s="1183"/>
      <c r="AB150" s="1183"/>
      <c r="AC150" s="1183"/>
      <c r="AD150" s="1183"/>
      <c r="AE150" s="1183"/>
      <c r="AF150" s="1183"/>
      <c r="AG150" s="1183"/>
      <c r="AH150" s="1183"/>
      <c r="AI150" s="1183"/>
      <c r="AJ150" s="1183"/>
      <c r="AK150" s="1183"/>
      <c r="AL150" s="1183"/>
      <c r="AM150" s="1183"/>
      <c r="AN150" s="1183"/>
      <c r="AO150" s="1183"/>
      <c r="AP150" s="1183"/>
      <c r="AQ150" s="1183"/>
      <c r="AR150" s="1384">
        <v>0</v>
      </c>
    </row>
    <row r="151" spans="1:44" s="2028" customFormat="1" ht="17.25" hidden="1" customHeight="1">
      <c r="A151" s="256"/>
      <c r="C151" s="255"/>
      <c r="D151" s="3075"/>
      <c r="E151" s="3095"/>
      <c r="F151" s="3097"/>
      <c r="G151" s="3095"/>
      <c r="H151" s="3100"/>
      <c r="I151" s="3102"/>
      <c r="J151" s="3105"/>
      <c r="K151" s="3089"/>
      <c r="L151" s="3089"/>
      <c r="M151" s="3089"/>
      <c r="N151" s="3092"/>
      <c r="O151" s="3089"/>
      <c r="P151" s="1855"/>
      <c r="Q151" s="1859"/>
      <c r="R151" s="1859"/>
      <c r="S151" s="264"/>
      <c r="T151" s="264"/>
      <c r="U151" s="264"/>
      <c r="V151" s="264"/>
      <c r="W151" s="1860"/>
      <c r="X151" s="1183"/>
      <c r="Y151" s="1183"/>
      <c r="Z151" s="1183"/>
      <c r="AA151" s="1183"/>
      <c r="AB151" s="1183"/>
      <c r="AC151" s="1183"/>
      <c r="AD151" s="1183"/>
      <c r="AE151" s="1183"/>
      <c r="AF151" s="1183"/>
      <c r="AG151" s="1183"/>
      <c r="AH151" s="1183"/>
      <c r="AI151" s="1183"/>
      <c r="AJ151" s="1183"/>
      <c r="AK151" s="1183"/>
      <c r="AL151" s="1183"/>
      <c r="AM151" s="1183"/>
      <c r="AN151" s="1183"/>
      <c r="AO151" s="1183"/>
      <c r="AP151" s="1183"/>
      <c r="AQ151" s="1183"/>
      <c r="AR151" s="1384">
        <v>0</v>
      </c>
    </row>
    <row r="152" spans="1:44" s="2028" customFormat="1" ht="17.25" hidden="1" customHeight="1">
      <c r="A152" s="256"/>
      <c r="C152" s="255"/>
      <c r="D152" s="3075"/>
      <c r="E152" s="3095"/>
      <c r="F152" s="3097"/>
      <c r="G152" s="3095"/>
      <c r="H152" s="3100"/>
      <c r="I152" s="3102"/>
      <c r="J152" s="3105"/>
      <c r="K152" s="3089"/>
      <c r="L152" s="1859"/>
      <c r="M152" s="1859"/>
      <c r="N152" s="1859"/>
      <c r="O152" s="1859"/>
      <c r="P152" s="1859"/>
      <c r="Q152" s="1859"/>
      <c r="R152" s="1859"/>
      <c r="S152" s="264"/>
      <c r="T152" s="264"/>
      <c r="U152" s="264"/>
      <c r="V152" s="264"/>
      <c r="W152" s="1860"/>
      <c r="X152" s="1183"/>
      <c r="Y152" s="1183"/>
      <c r="Z152" s="1183"/>
      <c r="AA152" s="1183"/>
      <c r="AB152" s="1183"/>
      <c r="AC152" s="1183"/>
      <c r="AD152" s="1183"/>
      <c r="AE152" s="1183"/>
      <c r="AF152" s="1183"/>
      <c r="AG152" s="1183"/>
      <c r="AH152" s="1183"/>
      <c r="AI152" s="1183"/>
      <c r="AJ152" s="1183"/>
      <c r="AK152" s="1183"/>
      <c r="AL152" s="1183"/>
      <c r="AM152" s="1183"/>
      <c r="AN152" s="1183"/>
      <c r="AO152" s="1183"/>
      <c r="AP152" s="1183"/>
      <c r="AQ152" s="1183"/>
      <c r="AR152" s="1384">
        <v>0</v>
      </c>
    </row>
    <row r="153" spans="1:44" s="2028" customFormat="1" ht="17.25" hidden="1" customHeight="1">
      <c r="A153" s="256"/>
      <c r="C153" s="255"/>
      <c r="D153" s="3075"/>
      <c r="E153" s="3095"/>
      <c r="F153" s="3098"/>
      <c r="G153" s="3095"/>
      <c r="H153" s="1216"/>
      <c r="I153" s="1857"/>
      <c r="J153" s="1857"/>
      <c r="K153" s="1857"/>
      <c r="L153" s="1857"/>
      <c r="M153" s="1857"/>
      <c r="N153" s="1857"/>
      <c r="O153" s="1857"/>
      <c r="P153" s="1857"/>
      <c r="Q153" s="1857"/>
      <c r="R153" s="1857"/>
      <c r="S153" s="1218"/>
      <c r="T153" s="1218"/>
      <c r="U153" s="1218"/>
      <c r="V153" s="1218"/>
      <c r="W153" s="1858"/>
      <c r="X153" s="1183"/>
      <c r="Y153" s="1183"/>
      <c r="Z153" s="1183"/>
      <c r="AA153" s="1183"/>
      <c r="AB153" s="1183"/>
      <c r="AC153" s="1183"/>
      <c r="AD153" s="1183"/>
      <c r="AE153" s="1183"/>
      <c r="AF153" s="1183"/>
      <c r="AG153" s="1183"/>
      <c r="AH153" s="1183"/>
      <c r="AI153" s="1183"/>
      <c r="AJ153" s="1183"/>
      <c r="AK153" s="1183"/>
      <c r="AL153" s="1183"/>
      <c r="AM153" s="1183"/>
      <c r="AN153" s="1183"/>
      <c r="AO153" s="1183"/>
      <c r="AP153" s="1183"/>
      <c r="AQ153" s="1183"/>
      <c r="AR153" s="1384">
        <v>0</v>
      </c>
    </row>
    <row r="154" spans="1:44" ht="11.5" customHeight="1">
      <c r="AR154" s="42">
        <v>11</v>
      </c>
    </row>
    <row r="155" spans="1:44" ht="11.5" customHeight="1">
      <c r="AR155" s="42">
        <v>11</v>
      </c>
    </row>
    <row r="156" spans="1:44" ht="11.5" customHeight="1">
      <c r="AR156" s="42">
        <v>11</v>
      </c>
    </row>
    <row r="157" spans="1:44" ht="11.5" customHeight="1">
      <c r="E157" s="1267"/>
      <c r="AR157" s="42">
        <v>11</v>
      </c>
    </row>
    <row r="158" spans="1:44" ht="11.5" customHeight="1">
      <c r="E158" s="1267"/>
      <c r="AR158" s="42">
        <v>11</v>
      </c>
    </row>
    <row r="159" spans="1:44" ht="11.5" customHeight="1">
      <c r="E159" s="1267"/>
      <c r="AR159" s="42">
        <v>11</v>
      </c>
    </row>
    <row r="160" spans="1:44" ht="11.5" customHeight="1">
      <c r="E160" s="1267"/>
      <c r="AR160" s="42">
        <v>11</v>
      </c>
    </row>
    <row r="161" spans="1:44" ht="11.5" customHeight="1">
      <c r="E161" s="1267"/>
      <c r="AR161" s="42">
        <v>11</v>
      </c>
    </row>
    <row r="162" spans="1:44" ht="11.5" customHeight="1">
      <c r="E162" s="1267"/>
      <c r="AR162" s="42">
        <v>11</v>
      </c>
    </row>
    <row r="163" spans="1:44" ht="11.5" customHeight="1">
      <c r="E163" s="1267"/>
      <c r="AR163" s="42">
        <v>11</v>
      </c>
    </row>
    <row r="164" spans="1:44" ht="11.25" hidden="1" customHeight="1">
      <c r="A164" s="89" t="s">
        <v>83</v>
      </c>
      <c r="B164" s="89">
        <v>0</v>
      </c>
      <c r="C164" s="42">
        <v>3</v>
      </c>
      <c r="D164" s="42">
        <v>6</v>
      </c>
      <c r="E164" s="42">
        <v>42</v>
      </c>
      <c r="F164" s="1200">
        <v>14</v>
      </c>
      <c r="G164" s="42">
        <v>42</v>
      </c>
      <c r="H164" s="42">
        <v>3</v>
      </c>
      <c r="I164" s="42">
        <v>5</v>
      </c>
      <c r="J164" s="42">
        <v>47</v>
      </c>
      <c r="K164" s="42">
        <v>3</v>
      </c>
      <c r="L164" s="42">
        <v>3</v>
      </c>
      <c r="M164" s="42">
        <v>5</v>
      </c>
      <c r="N164" s="42">
        <v>28</v>
      </c>
      <c r="O164" s="42">
        <v>3</v>
      </c>
      <c r="P164" s="42">
        <v>3</v>
      </c>
      <c r="Q164" s="42">
        <v>5</v>
      </c>
      <c r="R164" s="42">
        <v>34</v>
      </c>
      <c r="S164" s="217">
        <v>0</v>
      </c>
      <c r="T164" s="217">
        <v>0</v>
      </c>
      <c r="U164" s="217">
        <v>0</v>
      </c>
      <c r="V164" s="217">
        <v>0</v>
      </c>
      <c r="W164" s="42">
        <v>30</v>
      </c>
      <c r="X164" s="42">
        <v>3</v>
      </c>
      <c r="Y164" s="1176">
        <v>0</v>
      </c>
      <c r="Z164" s="1176">
        <v>0</v>
      </c>
      <c r="AA164" s="1176">
        <v>0</v>
      </c>
      <c r="AB164" s="1176">
        <v>0</v>
      </c>
      <c r="AC164" s="1176">
        <v>0</v>
      </c>
      <c r="AD164" s="1176">
        <v>0</v>
      </c>
      <c r="AE164" s="1176">
        <v>0</v>
      </c>
      <c r="AF164" s="1176">
        <v>0</v>
      </c>
      <c r="AG164" s="1176">
        <v>0</v>
      </c>
      <c r="AH164" s="1176">
        <v>0</v>
      </c>
      <c r="AI164" s="1176">
        <v>0</v>
      </c>
      <c r="AJ164" s="1176">
        <v>0</v>
      </c>
      <c r="AK164" s="1176">
        <v>0</v>
      </c>
      <c r="AL164" s="1176">
        <v>0</v>
      </c>
      <c r="AM164" s="1176">
        <v>0</v>
      </c>
      <c r="AN164" s="1176">
        <v>0</v>
      </c>
      <c r="AO164" s="1176">
        <v>0</v>
      </c>
      <c r="AP164" s="1176">
        <v>0</v>
      </c>
      <c r="AQ164" s="1176">
        <v>0</v>
      </c>
      <c r="AR164" s="42">
        <v>11</v>
      </c>
    </row>
  </sheetData>
  <sheetProtection formatColumns="0" formatRows="0" insertRows="0" deleteColumns="0" deleteRows="0" sort="0" autoFilter="0"/>
  <mergeCells count="427">
    <mergeCell ref="R29:R30"/>
    <mergeCell ref="S29:S30"/>
    <mergeCell ref="G29:G33"/>
    <mergeCell ref="H29:H32"/>
    <mergeCell ref="I29:I32"/>
    <mergeCell ref="J29:J32"/>
    <mergeCell ref="K29:K32"/>
    <mergeCell ref="L29:L31"/>
    <mergeCell ref="M29:M31"/>
    <mergeCell ref="N29:N31"/>
    <mergeCell ref="O29:O31"/>
    <mergeCell ref="P29:P30"/>
    <mergeCell ref="Q29:Q30"/>
    <mergeCell ref="M149:M151"/>
    <mergeCell ref="N149:N151"/>
    <mergeCell ref="O149:O151"/>
    <mergeCell ref="P149:P150"/>
    <mergeCell ref="Q149:Q150"/>
    <mergeCell ref="R149:R150"/>
    <mergeCell ref="S149:S150"/>
    <mergeCell ref="D149:D153"/>
    <mergeCell ref="E149:E153"/>
    <mergeCell ref="F149:F153"/>
    <mergeCell ref="G149:G153"/>
    <mergeCell ref="H149:H152"/>
    <mergeCell ref="I149:I152"/>
    <mergeCell ref="J149:J152"/>
    <mergeCell ref="K149:K152"/>
    <mergeCell ref="L149:L151"/>
    <mergeCell ref="N117:N119"/>
    <mergeCell ref="O117:O119"/>
    <mergeCell ref="P117:P118"/>
    <mergeCell ref="Q117:Q118"/>
    <mergeCell ref="R117:R118"/>
    <mergeCell ref="S117:S118"/>
    <mergeCell ref="D133:D137"/>
    <mergeCell ref="E133:E137"/>
    <mergeCell ref="F133:F137"/>
    <mergeCell ref="G133:G137"/>
    <mergeCell ref="H133:H136"/>
    <mergeCell ref="I133:I136"/>
    <mergeCell ref="J133:J136"/>
    <mergeCell ref="K133:K136"/>
    <mergeCell ref="L133:L135"/>
    <mergeCell ref="M133:M135"/>
    <mergeCell ref="N133:N135"/>
    <mergeCell ref="O133:O135"/>
    <mergeCell ref="P133:P134"/>
    <mergeCell ref="Q133:Q134"/>
    <mergeCell ref="R133:R134"/>
    <mergeCell ref="S133:S134"/>
    <mergeCell ref="D117:D121"/>
    <mergeCell ref="E117:E121"/>
    <mergeCell ref="F117:F121"/>
    <mergeCell ref="G117:G121"/>
    <mergeCell ref="H117:H120"/>
    <mergeCell ref="I117:I120"/>
    <mergeCell ref="J117:J120"/>
    <mergeCell ref="K117:K120"/>
    <mergeCell ref="L117:L119"/>
    <mergeCell ref="S144:S145"/>
    <mergeCell ref="D144:D148"/>
    <mergeCell ref="E144:E148"/>
    <mergeCell ref="F144:F148"/>
    <mergeCell ref="G144:G148"/>
    <mergeCell ref="H144:H147"/>
    <mergeCell ref="I144:I147"/>
    <mergeCell ref="J144:J147"/>
    <mergeCell ref="K144:K147"/>
    <mergeCell ref="L144:L146"/>
    <mergeCell ref="H139:H142"/>
    <mergeCell ref="I139:I142"/>
    <mergeCell ref="J139:J142"/>
    <mergeCell ref="K139:K142"/>
    <mergeCell ref="L139:L141"/>
    <mergeCell ref="M139:M141"/>
    <mergeCell ref="N139:N141"/>
    <mergeCell ref="M144:M146"/>
    <mergeCell ref="N144:N146"/>
    <mergeCell ref="O144:O146"/>
    <mergeCell ref="P139:P140"/>
    <mergeCell ref="Q139:Q140"/>
    <mergeCell ref="R139:R140"/>
    <mergeCell ref="P144:P145"/>
    <mergeCell ref="Q144:Q145"/>
    <mergeCell ref="R144:R145"/>
    <mergeCell ref="S139:S140"/>
    <mergeCell ref="D139:D143"/>
    <mergeCell ref="E139:E143"/>
    <mergeCell ref="F139:F143"/>
    <mergeCell ref="G139:G143"/>
    <mergeCell ref="M128:M130"/>
    <mergeCell ref="N128:N130"/>
    <mergeCell ref="O128:O130"/>
    <mergeCell ref="P128:P129"/>
    <mergeCell ref="Q128:Q129"/>
    <mergeCell ref="R128:R129"/>
    <mergeCell ref="S128:S129"/>
    <mergeCell ref="D128:D132"/>
    <mergeCell ref="E128:E132"/>
    <mergeCell ref="F128:F132"/>
    <mergeCell ref="G128:G132"/>
    <mergeCell ref="H128:H131"/>
    <mergeCell ref="I128:I131"/>
    <mergeCell ref="J128:J131"/>
    <mergeCell ref="K128:K131"/>
    <mergeCell ref="L128:L130"/>
    <mergeCell ref="O139:O141"/>
    <mergeCell ref="R13:R14"/>
    <mergeCell ref="S13:S14"/>
    <mergeCell ref="M66:M68"/>
    <mergeCell ref="N66:N68"/>
    <mergeCell ref="O66:O68"/>
    <mergeCell ref="D123:D127"/>
    <mergeCell ref="E123:E127"/>
    <mergeCell ref="F123:F127"/>
    <mergeCell ref="G123:G127"/>
    <mergeCell ref="H123:H126"/>
    <mergeCell ref="I123:I126"/>
    <mergeCell ref="J123:J126"/>
    <mergeCell ref="K123:K126"/>
    <mergeCell ref="L123:L125"/>
    <mergeCell ref="P71:P72"/>
    <mergeCell ref="Q71:Q72"/>
    <mergeCell ref="R71:R72"/>
    <mergeCell ref="S71:S72"/>
    <mergeCell ref="P66:P67"/>
    <mergeCell ref="Q66:Q67"/>
    <mergeCell ref="R66:R67"/>
    <mergeCell ref="S66:S67"/>
    <mergeCell ref="M123:M125"/>
    <mergeCell ref="N123:N125"/>
    <mergeCell ref="O123:O125"/>
    <mergeCell ref="P123:P124"/>
    <mergeCell ref="Q123:Q124"/>
    <mergeCell ref="R123:R124"/>
    <mergeCell ref="S123:S124"/>
    <mergeCell ref="O71:O73"/>
    <mergeCell ref="E95:W95"/>
    <mergeCell ref="E87:W87"/>
    <mergeCell ref="E88:W88"/>
    <mergeCell ref="E89:W89"/>
    <mergeCell ref="E90:W90"/>
    <mergeCell ref="E91:W91"/>
    <mergeCell ref="L97:L99"/>
    <mergeCell ref="M97:M99"/>
    <mergeCell ref="E93:W93"/>
    <mergeCell ref="E94:W94"/>
    <mergeCell ref="K107:K110"/>
    <mergeCell ref="L107:L109"/>
    <mergeCell ref="S102:S103"/>
    <mergeCell ref="K102:K105"/>
    <mergeCell ref="K97:K100"/>
    <mergeCell ref="N102:N104"/>
    <mergeCell ref="O102:O104"/>
    <mergeCell ref="P102:P103"/>
    <mergeCell ref="G45:G55"/>
    <mergeCell ref="S61:S62"/>
    <mergeCell ref="E56:E60"/>
    <mergeCell ref="F56:F60"/>
    <mergeCell ref="D56:D60"/>
    <mergeCell ref="D45:D55"/>
    <mergeCell ref="E45:E55"/>
    <mergeCell ref="F45:F55"/>
    <mergeCell ref="P61:P62"/>
    <mergeCell ref="Q61:Q62"/>
    <mergeCell ref="R61:R62"/>
    <mergeCell ref="O61:O63"/>
    <mergeCell ref="O56:O58"/>
    <mergeCell ref="S56:S57"/>
    <mergeCell ref="P56:P57"/>
    <mergeCell ref="Q56:Q57"/>
    <mergeCell ref="R56:R57"/>
    <mergeCell ref="H56:H59"/>
    <mergeCell ref="I56:I59"/>
    <mergeCell ref="L48:L50"/>
    <mergeCell ref="N56:N58"/>
    <mergeCell ref="J56:J59"/>
    <mergeCell ref="D66:D70"/>
    <mergeCell ref="E66:E70"/>
    <mergeCell ref="F66:F70"/>
    <mergeCell ref="G66:G70"/>
    <mergeCell ref="H66:H69"/>
    <mergeCell ref="I66:I69"/>
    <mergeCell ref="J66:J69"/>
    <mergeCell ref="K66:K69"/>
    <mergeCell ref="L66:L68"/>
    <mergeCell ref="E61:E65"/>
    <mergeCell ref="F61:F65"/>
    <mergeCell ref="H61:H64"/>
    <mergeCell ref="G61:G65"/>
    <mergeCell ref="E29:E33"/>
    <mergeCell ref="F29:F33"/>
    <mergeCell ref="D71:D75"/>
    <mergeCell ref="E71:E75"/>
    <mergeCell ref="F71:F75"/>
    <mergeCell ref="H71:H74"/>
    <mergeCell ref="N61:N63"/>
    <mergeCell ref="G56:G60"/>
    <mergeCell ref="G71:G75"/>
    <mergeCell ref="K71:K74"/>
    <mergeCell ref="N71:N73"/>
    <mergeCell ref="I71:I74"/>
    <mergeCell ref="J71:J74"/>
    <mergeCell ref="L71:L73"/>
    <mergeCell ref="M71:M73"/>
    <mergeCell ref="L61:L63"/>
    <mergeCell ref="M61:M63"/>
    <mergeCell ref="K61:K64"/>
    <mergeCell ref="D61:D65"/>
    <mergeCell ref="I61:I64"/>
    <mergeCell ref="J61:J64"/>
    <mergeCell ref="K56:K59"/>
    <mergeCell ref="M56:M58"/>
    <mergeCell ref="L56:L58"/>
    <mergeCell ref="L10:M10"/>
    <mergeCell ref="P10:Q10"/>
    <mergeCell ref="L11:M11"/>
    <mergeCell ref="P11:Q11"/>
    <mergeCell ref="P13:P14"/>
    <mergeCell ref="L13:L15"/>
    <mergeCell ref="M13:M15"/>
    <mergeCell ref="N13:N15"/>
    <mergeCell ref="O13:O15"/>
    <mergeCell ref="Q13:Q1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S97:S98"/>
    <mergeCell ref="M102:M104"/>
    <mergeCell ref="W9:W10"/>
    <mergeCell ref="O9:R9"/>
    <mergeCell ref="K9:N9"/>
    <mergeCell ref="T11:U11"/>
    <mergeCell ref="S9:V9"/>
    <mergeCell ref="T10:U10"/>
    <mergeCell ref="D97:D101"/>
    <mergeCell ref="E97:E101"/>
    <mergeCell ref="D102:D106"/>
    <mergeCell ref="E102:E106"/>
    <mergeCell ref="F102:F106"/>
    <mergeCell ref="G102:G106"/>
    <mergeCell ref="H102:H105"/>
    <mergeCell ref="I102:I105"/>
    <mergeCell ref="J102:J105"/>
    <mergeCell ref="F97:F101"/>
    <mergeCell ref="G97:G101"/>
    <mergeCell ref="H97:H100"/>
    <mergeCell ref="I97:I100"/>
    <mergeCell ref="J97:J100"/>
    <mergeCell ref="K13:K16"/>
    <mergeCell ref="G18:G28"/>
    <mergeCell ref="P107:P108"/>
    <mergeCell ref="Q107:Q108"/>
    <mergeCell ref="R107:R108"/>
    <mergeCell ref="L102:L104"/>
    <mergeCell ref="N97:N99"/>
    <mergeCell ref="O97:O99"/>
    <mergeCell ref="P97:P98"/>
    <mergeCell ref="Q97:Q98"/>
    <mergeCell ref="R97:R98"/>
    <mergeCell ref="Q102:Q103"/>
    <mergeCell ref="R102:R103"/>
    <mergeCell ref="P112:P113"/>
    <mergeCell ref="Q112:Q113"/>
    <mergeCell ref="R112:R113"/>
    <mergeCell ref="S112:S113"/>
    <mergeCell ref="D107:D111"/>
    <mergeCell ref="E107:E111"/>
    <mergeCell ref="M107:M109"/>
    <mergeCell ref="D112:D116"/>
    <mergeCell ref="E112:E116"/>
    <mergeCell ref="F112:F116"/>
    <mergeCell ref="G112:G116"/>
    <mergeCell ref="H112:H115"/>
    <mergeCell ref="I112:I115"/>
    <mergeCell ref="J112:J115"/>
    <mergeCell ref="K112:K115"/>
    <mergeCell ref="L112:L114"/>
    <mergeCell ref="F107:F111"/>
    <mergeCell ref="G107:G111"/>
    <mergeCell ref="H107:H110"/>
    <mergeCell ref="I107:I110"/>
    <mergeCell ref="J107:J110"/>
    <mergeCell ref="S107:S108"/>
    <mergeCell ref="N107:N109"/>
    <mergeCell ref="O107:O109"/>
    <mergeCell ref="P76:P77"/>
    <mergeCell ref="Q76:Q77"/>
    <mergeCell ref="R76:R77"/>
    <mergeCell ref="S76:S77"/>
    <mergeCell ref="D81:D85"/>
    <mergeCell ref="E81:E85"/>
    <mergeCell ref="F81:F85"/>
    <mergeCell ref="G81:G85"/>
    <mergeCell ref="H81:H84"/>
    <mergeCell ref="I81:I84"/>
    <mergeCell ref="J81:J84"/>
    <mergeCell ref="K81:K84"/>
    <mergeCell ref="L81:L83"/>
    <mergeCell ref="M81:M83"/>
    <mergeCell ref="N81:N83"/>
    <mergeCell ref="O81:O83"/>
    <mergeCell ref="P81:P82"/>
    <mergeCell ref="Q81:Q82"/>
    <mergeCell ref="R81:R82"/>
    <mergeCell ref="S81:S82"/>
    <mergeCell ref="E76:E80"/>
    <mergeCell ref="F76:F80"/>
    <mergeCell ref="G76:G80"/>
    <mergeCell ref="H76:H79"/>
    <mergeCell ref="K18:K27"/>
    <mergeCell ref="M18:M20"/>
    <mergeCell ref="L18:L20"/>
    <mergeCell ref="N18:N20"/>
    <mergeCell ref="D76:D80"/>
    <mergeCell ref="M117:M119"/>
    <mergeCell ref="M76:M78"/>
    <mergeCell ref="N76:N78"/>
    <mergeCell ref="O76:O78"/>
    <mergeCell ref="I76:I79"/>
    <mergeCell ref="J76:J79"/>
    <mergeCell ref="K76:K79"/>
    <mergeCell ref="L76:L78"/>
    <mergeCell ref="M112:M114"/>
    <mergeCell ref="N112:N114"/>
    <mergeCell ref="O112:O114"/>
    <mergeCell ref="D18:D28"/>
    <mergeCell ref="E18:E28"/>
    <mergeCell ref="F18:F28"/>
    <mergeCell ref="D34:D44"/>
    <mergeCell ref="E34:E44"/>
    <mergeCell ref="F34:F44"/>
    <mergeCell ref="G34:G44"/>
    <mergeCell ref="D29:D33"/>
    <mergeCell ref="J18:J27"/>
    <mergeCell ref="H18:H27"/>
    <mergeCell ref="I18:I27"/>
    <mergeCell ref="L21:L23"/>
    <mergeCell ref="M21:M23"/>
    <mergeCell ref="N21:N23"/>
    <mergeCell ref="O21:O23"/>
    <mergeCell ref="S21:S22"/>
    <mergeCell ref="P21:P22"/>
    <mergeCell ref="Q21:Q22"/>
    <mergeCell ref="R21:R22"/>
    <mergeCell ref="L24:L26"/>
    <mergeCell ref="M24:M26"/>
    <mergeCell ref="N24:N26"/>
    <mergeCell ref="O24:O26"/>
    <mergeCell ref="S24:S25"/>
    <mergeCell ref="P24:P25"/>
    <mergeCell ref="Q24:Q25"/>
    <mergeCell ref="R24:R25"/>
    <mergeCell ref="O18:O20"/>
    <mergeCell ref="S18:S19"/>
    <mergeCell ref="P18:P19"/>
    <mergeCell ref="Q18:Q19"/>
    <mergeCell ref="R18:R19"/>
    <mergeCell ref="O34:O36"/>
    <mergeCell ref="S34:S35"/>
    <mergeCell ref="P34:P35"/>
    <mergeCell ref="Q34:Q35"/>
    <mergeCell ref="R34:R35"/>
    <mergeCell ref="K34:K43"/>
    <mergeCell ref="M34:M36"/>
    <mergeCell ref="L34:L36"/>
    <mergeCell ref="N34:N36"/>
    <mergeCell ref="M40:M42"/>
    <mergeCell ref="N40:N42"/>
    <mergeCell ref="O40:O42"/>
    <mergeCell ref="S40:S41"/>
    <mergeCell ref="P40:P41"/>
    <mergeCell ref="Q40:Q41"/>
    <mergeCell ref="R40:R41"/>
    <mergeCell ref="J34:J43"/>
    <mergeCell ref="H34:H43"/>
    <mergeCell ref="I34:I43"/>
    <mergeCell ref="O45:O47"/>
    <mergeCell ref="S45:S46"/>
    <mergeCell ref="P45:P46"/>
    <mergeCell ref="Q45:Q46"/>
    <mergeCell ref="R45:R46"/>
    <mergeCell ref="K45:K54"/>
    <mergeCell ref="M45:M47"/>
    <mergeCell ref="L45:L47"/>
    <mergeCell ref="N45:N47"/>
    <mergeCell ref="J45:J54"/>
    <mergeCell ref="H45:H54"/>
    <mergeCell ref="I45:I54"/>
    <mergeCell ref="L37:L39"/>
    <mergeCell ref="M37:M39"/>
    <mergeCell ref="N37:N39"/>
    <mergeCell ref="O37:O39"/>
    <mergeCell ref="S37:S38"/>
    <mergeCell ref="P37:P38"/>
    <mergeCell ref="Q37:Q38"/>
    <mergeCell ref="R37:R38"/>
    <mergeCell ref="L40:L42"/>
    <mergeCell ref="M48:M50"/>
    <mergeCell ref="N48:N50"/>
    <mergeCell ref="O48:O50"/>
    <mergeCell ref="S48:S49"/>
    <mergeCell ref="P48:P49"/>
    <mergeCell ref="Q48:Q49"/>
    <mergeCell ref="R48:R49"/>
    <mergeCell ref="L51:L53"/>
    <mergeCell ref="M51:M53"/>
    <mergeCell ref="N51:N53"/>
    <mergeCell ref="O51:O53"/>
    <mergeCell ref="S51:S52"/>
    <mergeCell ref="P51:P52"/>
    <mergeCell ref="Q51:Q52"/>
    <mergeCell ref="R51:R52"/>
  </mergeCells>
  <dataValidations count="6">
    <dataValidation allowBlank="1" showInputMessage="1" showErrorMessage="1" prompt="Для выбора выполните двойной щелчок левой клавиши мыши по соответствующей ячейке." sqref="K13:K14 K66:K67 O66:O67 S66:S67 K61:K62 O61:O62 S61:S62 O13:O14 S13:S14 K97:K98 O97:O98 S97:S98 K102:K103 O102:O103 S102:S103 K112:K113 O112:O113 S112:S113 K107:K108 O107:O108 S71:S72 S107:S108 K71:K72 O71:O72 O149:O150 O123:O124 S123:S124 O128:O129 S128:S129 K123:K124 K128:K129 S117:S118 K144:K145 O144:O145 K139:K140 O139:O140 S144:S145 O133:O134 S139:S140 O76:O77 S76:S77 K76:K77 K81:K82 O81:O82 S81:S82 F97:F121 K117:K118 O117:O118 F123:F137 S133:S134 K133:K134 F139:F153 S149:S150 K149:K150 K29:K30 O29:O30 S29:S30 S51:S52 O51 K51 S48:S49 O48 K48 S40:S41 O40 K40 S37:S38 O37 K37 S56:S57 O56 K56 S45:S46 O45 K45 S34:S35 O34 K34 S24:S25 O24 K24 S21:S22 O21 K21 F13:F85 S18:S19 O18 K18" xr:uid="{00000000-0002-0000-0400-000000000000}"/>
    <dataValidation type="textLength" operator="lessThanOrEqual" allowBlank="1" showInputMessage="1" showErrorMessage="1" errorTitle="Ошибка" error="Допускается ввод не более 900 символов!" sqref="J13:J14 J66:J67 R66:R67 V66:W66 J61:J62 R13:R14 R61:R62 V13:W13 V61:W61 J97:J98 R97:R98 V97:W97 J102:J103 R102:R103 V102:W102 J112:J113 R112:R113 V112:W112 J107:J108 R107:R108 V107:W107 J71:J72 R71:R72 V71:W71 J123:J124 R123:R124 V123:W123 J128:J129 R128:R129 V128:W128 J144:J145 R144:R145 V144:W144 J139:J140 R139:R140 V139:W139 J76:J77 R76:R77 V76:W76 J81:J82 R81:R82 V81:W81 J117:J118 R117:R118 V117:W117 J133:J134 R133:R134 V133:W133 J149:J150 R149:R150 V149:W149 J29:J30 R29:R30 V29:W29 V51:W51 R51:R52 J51:J52 V48:W48 R48:R49 J48:J49 V40:W40 R40:R41 J40:J41 V37:W37 R37:R38 J37:J38 V56:W56 R56:R57 J56:J57 V45:W45 R45:R46 J45:J46 V34:W34 R34:R35 J34:J35 V24:W24 R24:R25 J24:J25 V21:W21 R21:R22 J21:J22 V18:W18 R18:R19 J18:J19" xr:uid="{00000000-0002-0000-0400-000001000000}">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66:N68 N61:N63 N13:N15 N97:N99 N112:N114 N102:N104 N107:N109 N71:N73 N123:N125 N128:N130 N144:N146 N139:N141 N76:N78 N81:N83 N117:N119 N133:N135 N149:N151 N29:N31" xr:uid="{00000000-0002-0000-0400-000002000000}">
      <formula1>DESCRIPTION_TERRITORY</formula1>
    </dataValidation>
    <dataValidation allowBlank="1" showInputMessage="1" showErrorMessage="1" prompt="Выберите виды деятельности, выполнив двойной щелчок левой кнопки мыши по ячейке." sqref="G123:G137 G139:G153 G97:G121 G13:G85" xr:uid="{00000000-0002-0000-0400-000003000000}"/>
    <dataValidation type="list" allowBlank="1" showInputMessage="1" showErrorMessage="1" errorTitle="Ошибка" error="Выберите значение из списка" prompt="Выберите значение из списка" sqref="E18:E20 E27:E28" xr:uid="{00000000-0002-0000-0400-000004000000}">
      <formula1>kind_of_tariff_RHEAT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56:N58 N45:N53 N34:N42 N18:N26" xr:uid="{00000000-0002-0000-04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404393-F828-086F-183F-782AED5FB951}">
  <sheetPr>
    <tabColor rgb="FFCCCCFF"/>
  </sheetPr>
  <dimension ref="A1:BM50"/>
  <sheetViews>
    <sheetView showGridLines="0" topLeftCell="C3" zoomScale="90" workbookViewId="0"/>
  </sheetViews>
  <sheetFormatPr defaultColWidth="9.09765625" defaultRowHeight="11.25" customHeight="1"/>
  <cols>
    <col min="1" max="2" width="9.09765625" style="2021" hidden="1"/>
    <col min="3" max="4" width="3" style="2021" customWidth="1"/>
    <col min="5" max="6" width="15" style="2021" customWidth="1"/>
    <col min="7" max="7" width="11.59765625" style="2021" customWidth="1"/>
    <col min="8" max="9" width="3" style="2021" customWidth="1"/>
    <col min="10" max="10" width="12" style="2021" customWidth="1"/>
    <col min="11" max="11" width="0.296875" style="2021" customWidth="1"/>
    <col min="12" max="13" width="10" style="2021" customWidth="1"/>
    <col min="14" max="15" width="3" style="2021" customWidth="1"/>
    <col min="16" max="16" width="19" style="2021" customWidth="1"/>
    <col min="17" max="17" width="0.296875" style="2021" customWidth="1"/>
    <col min="18" max="19" width="10" style="2021" customWidth="1"/>
    <col min="20" max="21" width="3" style="2021" customWidth="1"/>
    <col min="22" max="22" width="25" style="2021" customWidth="1"/>
    <col min="23" max="23" width="0.296875" style="2021" customWidth="1"/>
    <col min="24" max="25" width="10" style="2021" customWidth="1"/>
    <col min="26" max="27" width="3" style="2021" customWidth="1"/>
    <col min="28" max="28" width="16" style="2021" customWidth="1"/>
    <col min="29" max="29" width="0.296875" style="2021" customWidth="1"/>
    <col min="30" max="31" width="10" style="2021" customWidth="1"/>
    <col min="32" max="33" width="3" style="2021" customWidth="1"/>
    <col min="34" max="34" width="8" style="2021" customWidth="1"/>
    <col min="35" max="35" width="21" style="2021" customWidth="1"/>
    <col min="36" max="36" width="8" style="2021" customWidth="1"/>
    <col min="37" max="37" width="8" style="2203" customWidth="1"/>
    <col min="38" max="64" width="8" style="2021" customWidth="1"/>
    <col min="65" max="65" width="9.09765625" style="2021" hidden="1"/>
  </cols>
  <sheetData>
    <row r="1" spans="1:65" s="2200" customFormat="1" ht="11.25" hidden="1" customHeight="1">
      <c r="AJ1" s="356"/>
      <c r="AK1" s="356"/>
      <c r="AL1" s="356"/>
      <c r="AM1" s="356"/>
      <c r="AN1" s="356"/>
      <c r="AO1" s="356"/>
      <c r="AP1" s="356"/>
      <c r="AQ1" s="356"/>
      <c r="AR1" s="356"/>
      <c r="AS1" s="356"/>
      <c r="AT1" s="356"/>
      <c r="AU1" s="356"/>
      <c r="AV1" s="356"/>
      <c r="AW1" s="356"/>
      <c r="AX1" s="356"/>
      <c r="AY1" s="356"/>
      <c r="AZ1" s="356"/>
      <c r="BA1" s="356"/>
      <c r="BB1" s="356"/>
      <c r="BC1" s="356"/>
      <c r="BD1" s="356"/>
      <c r="BE1" s="356"/>
      <c r="BF1" s="356"/>
      <c r="BG1" s="356"/>
      <c r="BH1" s="356"/>
      <c r="BI1" s="356"/>
      <c r="BJ1" s="356"/>
      <c r="BK1" s="356"/>
      <c r="BL1" s="356"/>
      <c r="BM1" s="353" t="s">
        <v>14</v>
      </c>
    </row>
    <row r="2" spans="1:65" s="2201" customFormat="1" ht="11.25" hidden="1" customHeight="1">
      <c r="L2" s="1470" t="s">
        <v>314</v>
      </c>
      <c r="M2" s="1470" t="s">
        <v>315</v>
      </c>
      <c r="R2" s="1470" t="s">
        <v>316</v>
      </c>
      <c r="S2" s="1470" t="s">
        <v>315</v>
      </c>
      <c r="X2" s="1470" t="s">
        <v>314</v>
      </c>
      <c r="Y2" s="1470" t="s">
        <v>315</v>
      </c>
      <c r="AD2" s="1470" t="s">
        <v>314</v>
      </c>
      <c r="AE2" s="1470" t="s">
        <v>315</v>
      </c>
      <c r="AJ2" s="1492"/>
      <c r="AK2" s="1492"/>
      <c r="AL2" s="1492"/>
      <c r="AM2" s="1492"/>
      <c r="AN2" s="1492"/>
      <c r="AO2" s="1492"/>
      <c r="AP2" s="1492"/>
      <c r="AQ2" s="1492"/>
      <c r="AR2" s="1492"/>
      <c r="AS2" s="1492"/>
      <c r="AT2" s="1492"/>
      <c r="AU2" s="1492"/>
      <c r="AV2" s="1492"/>
      <c r="AW2" s="1492"/>
      <c r="AX2" s="1492"/>
      <c r="AY2" s="1492"/>
      <c r="AZ2" s="1492"/>
      <c r="BA2" s="1492"/>
      <c r="BB2" s="1492"/>
      <c r="BC2" s="1492"/>
      <c r="BD2" s="1492"/>
      <c r="BE2" s="1492"/>
      <c r="BF2" s="1492"/>
      <c r="BG2" s="1492"/>
      <c r="BH2" s="1492"/>
      <c r="BI2" s="1492"/>
      <c r="BJ2" s="1492"/>
      <c r="BK2" s="1492"/>
      <c r="BL2" s="1492"/>
      <c r="BM2" s="1470">
        <v>0</v>
      </c>
    </row>
    <row r="3" spans="1:65" s="2202" customFormat="1" ht="11.5" customHeight="1">
      <c r="AJ3" s="1491"/>
      <c r="AK3" s="241"/>
      <c r="AL3" s="1491"/>
      <c r="AM3" s="1491"/>
      <c r="AN3" s="1491"/>
      <c r="AO3" s="1491"/>
      <c r="AP3" s="1491"/>
      <c r="AQ3" s="1491"/>
      <c r="AR3" s="1491"/>
      <c r="AS3" s="1491"/>
      <c r="AT3" s="1491"/>
      <c r="AU3" s="1491"/>
      <c r="AV3" s="1491"/>
      <c r="AW3" s="1491"/>
      <c r="AX3" s="1491"/>
      <c r="AY3" s="1491"/>
      <c r="AZ3" s="1491"/>
      <c r="BA3" s="1491"/>
      <c r="BB3" s="1491"/>
      <c r="BC3" s="1491"/>
      <c r="BD3" s="1491"/>
      <c r="BE3" s="1491"/>
      <c r="BF3" s="1491"/>
      <c r="BG3" s="1491"/>
      <c r="BH3" s="1491"/>
      <c r="BI3" s="1491"/>
      <c r="BJ3" s="1491"/>
      <c r="BK3" s="1491"/>
      <c r="BL3" s="1491"/>
      <c r="BM3" s="1471">
        <v>11</v>
      </c>
    </row>
    <row r="4" spans="1:65" s="2019" customFormat="1" ht="34.5" customHeight="1">
      <c r="A4" s="1073"/>
      <c r="B4" s="1072"/>
      <c r="C4" s="1432"/>
      <c r="D4" s="3144" t="s">
        <v>317</v>
      </c>
      <c r="E4" s="3144"/>
      <c r="F4" s="3144"/>
      <c r="G4" s="3144"/>
      <c r="H4" s="3144"/>
      <c r="I4" s="3144"/>
      <c r="J4" s="3144"/>
      <c r="K4" s="633"/>
      <c r="T4" s="1472"/>
      <c r="AJ4" s="1493"/>
      <c r="AK4" s="1494"/>
      <c r="AL4" s="1493"/>
      <c r="AM4" s="1493"/>
      <c r="AN4" s="1493"/>
      <c r="AO4" s="1493"/>
      <c r="AP4" s="1493"/>
      <c r="AQ4" s="1493"/>
      <c r="AR4" s="1493"/>
      <c r="AS4" s="1493"/>
      <c r="AT4" s="1493"/>
      <c r="AU4" s="1493"/>
      <c r="AV4" s="1493"/>
      <c r="AW4" s="1493"/>
      <c r="AX4" s="1493"/>
      <c r="AY4" s="1493"/>
      <c r="AZ4" s="1493"/>
      <c r="BA4" s="1493"/>
      <c r="BB4" s="1493"/>
      <c r="BC4" s="1493"/>
      <c r="BD4" s="1493"/>
      <c r="BE4" s="1493"/>
      <c r="BF4" s="1493"/>
      <c r="BG4" s="1493"/>
      <c r="BH4" s="1493"/>
      <c r="BI4" s="1493"/>
      <c r="BJ4" s="1493"/>
      <c r="BK4" s="1493"/>
      <c r="BL4" s="1493"/>
      <c r="BM4" s="441">
        <v>33</v>
      </c>
    </row>
    <row r="5" spans="1:65" s="2019" customFormat="1" ht="14.65" customHeight="1">
      <c r="A5" s="1549"/>
      <c r="B5" s="1548"/>
      <c r="C5" s="1432"/>
      <c r="D5" s="3131" t="str">
        <f>IF(org=0,"Не определено",org)</f>
        <v>ООО "РСО"</v>
      </c>
      <c r="E5" s="3131"/>
      <c r="F5" s="3131"/>
      <c r="G5" s="3131"/>
      <c r="H5" s="3131"/>
      <c r="I5" s="3131"/>
      <c r="J5" s="3131"/>
      <c r="K5" s="633"/>
      <c r="T5" s="1472"/>
      <c r="AJ5" s="1493"/>
      <c r="AK5" s="1494"/>
      <c r="AL5" s="1493"/>
      <c r="AM5" s="1493"/>
      <c r="AN5" s="1493"/>
      <c r="AO5" s="1493"/>
      <c r="AP5" s="1493"/>
      <c r="AQ5" s="1493"/>
      <c r="AR5" s="1493"/>
      <c r="AS5" s="1493"/>
      <c r="AT5" s="1493"/>
      <c r="AU5" s="1493"/>
      <c r="AV5" s="1493"/>
      <c r="AW5" s="1493"/>
      <c r="AX5" s="1493"/>
      <c r="AY5" s="1493"/>
      <c r="AZ5" s="1493"/>
      <c r="BA5" s="1493"/>
      <c r="BB5" s="1493"/>
      <c r="BC5" s="1493"/>
      <c r="BD5" s="1493"/>
      <c r="BE5" s="1493"/>
      <c r="BF5" s="1493"/>
      <c r="BG5" s="1493"/>
      <c r="BH5" s="1493"/>
      <c r="BI5" s="1493"/>
      <c r="BJ5" s="1493"/>
      <c r="BK5" s="1493"/>
      <c r="BL5" s="1493"/>
      <c r="BM5" s="1526">
        <v>14</v>
      </c>
    </row>
    <row r="6" spans="1:65" s="2019" customFormat="1" ht="14.65" customHeight="1">
      <c r="A6" s="1073"/>
      <c r="B6" s="1072"/>
      <c r="C6" s="1432"/>
      <c r="D6" s="633"/>
      <c r="E6" s="633"/>
      <c r="F6" s="633"/>
      <c r="G6" s="633"/>
      <c r="H6" s="633"/>
      <c r="I6" s="633"/>
      <c r="J6" s="633"/>
      <c r="K6" s="633"/>
      <c r="T6" s="1472"/>
      <c r="AJ6" s="1493"/>
      <c r="AK6" s="1494"/>
      <c r="AL6" s="1493"/>
      <c r="AM6" s="1493"/>
      <c r="AN6" s="1493"/>
      <c r="AO6" s="1493"/>
      <c r="AP6" s="1493"/>
      <c r="AQ6" s="1493"/>
      <c r="AR6" s="1493"/>
      <c r="AS6" s="1493"/>
      <c r="AT6" s="1493"/>
      <c r="AU6" s="1493"/>
      <c r="AV6" s="1493"/>
      <c r="AW6" s="1493"/>
      <c r="AX6" s="1493"/>
      <c r="AY6" s="1493"/>
      <c r="AZ6" s="1493"/>
      <c r="BA6" s="1493"/>
      <c r="BB6" s="1493"/>
      <c r="BC6" s="1493"/>
      <c r="BD6" s="1493"/>
      <c r="BE6" s="1493"/>
      <c r="BF6" s="1493"/>
      <c r="BG6" s="1493"/>
      <c r="BH6" s="1493"/>
      <c r="BI6" s="1493"/>
      <c r="BJ6" s="1493"/>
      <c r="BK6" s="1493"/>
      <c r="BL6" s="1493"/>
      <c r="BM6" s="441">
        <v>14</v>
      </c>
    </row>
    <row r="7" spans="1:65" s="2200" customFormat="1" ht="1" customHeight="1">
      <c r="AJ7" s="356"/>
      <c r="AK7" s="356"/>
      <c r="AL7" s="356"/>
      <c r="AM7" s="356"/>
      <c r="AN7" s="356"/>
      <c r="AO7" s="356"/>
      <c r="AP7" s="356"/>
      <c r="AQ7" s="356"/>
      <c r="AR7" s="356"/>
      <c r="AS7" s="356"/>
      <c r="AT7" s="356"/>
      <c r="AU7" s="356"/>
      <c r="AV7" s="356"/>
      <c r="AW7" s="356"/>
      <c r="AX7" s="356"/>
      <c r="AY7" s="356"/>
      <c r="AZ7" s="356"/>
      <c r="BA7" s="356"/>
      <c r="BB7" s="356"/>
      <c r="BC7" s="356"/>
      <c r="BD7" s="356"/>
      <c r="BE7" s="356"/>
      <c r="BF7" s="356"/>
      <c r="BG7" s="356"/>
      <c r="BH7" s="356"/>
      <c r="BI7" s="356"/>
      <c r="BJ7" s="356"/>
      <c r="BK7" s="356"/>
      <c r="BL7" s="356"/>
      <c r="BM7" s="353">
        <v>1</v>
      </c>
    </row>
    <row r="8" spans="1:65" ht="33.75" customHeight="1">
      <c r="D8" s="3067" t="s">
        <v>89</v>
      </c>
      <c r="E8" s="3067" t="s">
        <v>120</v>
      </c>
      <c r="F8" s="3145" t="s">
        <v>136</v>
      </c>
      <c r="G8" s="3146"/>
      <c r="H8" s="3145" t="s">
        <v>89</v>
      </c>
      <c r="I8" s="3146"/>
      <c r="J8" s="3067" t="s">
        <v>137</v>
      </c>
      <c r="K8" s="1473"/>
      <c r="L8" s="3130" t="s">
        <v>318</v>
      </c>
      <c r="M8" s="3130"/>
      <c r="N8" s="3130"/>
      <c r="O8" s="3130"/>
      <c r="P8" s="3130"/>
      <c r="Q8" s="1474"/>
      <c r="R8" s="3038" t="s">
        <v>319</v>
      </c>
      <c r="S8" s="3044"/>
      <c r="T8" s="3044"/>
      <c r="U8" s="3044"/>
      <c r="V8" s="3044"/>
      <c r="W8" s="1474"/>
      <c r="X8" s="3067" t="s">
        <v>320</v>
      </c>
      <c r="Y8" s="3067"/>
      <c r="Z8" s="3067"/>
      <c r="AA8" s="3067"/>
      <c r="AB8" s="3067"/>
      <c r="AC8" s="1475"/>
      <c r="AD8" s="3067" t="s">
        <v>321</v>
      </c>
      <c r="AE8" s="3067"/>
      <c r="AF8" s="3067"/>
      <c r="AG8" s="3067"/>
      <c r="AH8" s="3038"/>
      <c r="AI8" s="3067" t="s">
        <v>322</v>
      </c>
      <c r="AJ8" s="1491"/>
      <c r="BM8" s="228">
        <v>32</v>
      </c>
    </row>
    <row r="9" spans="1:65" ht="23.25" customHeight="1">
      <c r="D9" s="3067"/>
      <c r="E9" s="3067"/>
      <c r="F9" s="3130" t="s">
        <v>90</v>
      </c>
      <c r="G9" s="3130" t="s">
        <v>142</v>
      </c>
      <c r="H9" s="3147"/>
      <c r="I9" s="3148"/>
      <c r="J9" s="3038"/>
      <c r="K9" s="1476"/>
      <c r="L9" s="3067" t="s">
        <v>323</v>
      </c>
      <c r="M9" s="3038"/>
      <c r="N9" s="3145" t="s">
        <v>89</v>
      </c>
      <c r="O9" s="3146"/>
      <c r="P9" s="3067" t="s">
        <v>143</v>
      </c>
      <c r="Q9" s="1473"/>
      <c r="R9" s="3067" t="s">
        <v>323</v>
      </c>
      <c r="S9" s="3038"/>
      <c r="T9" s="3145" t="s">
        <v>89</v>
      </c>
      <c r="U9" s="3146"/>
      <c r="V9" s="3067" t="s">
        <v>143</v>
      </c>
      <c r="W9" s="1473"/>
      <c r="X9" s="3067" t="s">
        <v>323</v>
      </c>
      <c r="Y9" s="3038"/>
      <c r="Z9" s="3145" t="s">
        <v>89</v>
      </c>
      <c r="AA9" s="3146"/>
      <c r="AB9" s="3067" t="s">
        <v>324</v>
      </c>
      <c r="AC9" s="1473"/>
      <c r="AD9" s="3067" t="s">
        <v>323</v>
      </c>
      <c r="AE9" s="3038"/>
      <c r="AF9" s="3145" t="s">
        <v>89</v>
      </c>
      <c r="AG9" s="3146"/>
      <c r="AH9" s="3038" t="s">
        <v>324</v>
      </c>
      <c r="AI9" s="3067"/>
      <c r="AJ9" s="1491"/>
      <c r="BM9" s="228">
        <v>22</v>
      </c>
    </row>
    <row r="10" spans="1:65" ht="24" customHeight="1">
      <c r="D10" s="3130"/>
      <c r="E10" s="3130"/>
      <c r="F10" s="3149"/>
      <c r="G10" s="3149"/>
      <c r="H10" s="3150"/>
      <c r="I10" s="3151"/>
      <c r="J10" s="3145"/>
      <c r="K10" s="1476"/>
      <c r="L10" s="1495" t="s">
        <v>325</v>
      </c>
      <c r="M10" s="1490" t="s">
        <v>326</v>
      </c>
      <c r="N10" s="3147"/>
      <c r="O10" s="3148"/>
      <c r="P10" s="3130"/>
      <c r="Q10" s="1473"/>
      <c r="R10" s="1495" t="s">
        <v>325</v>
      </c>
      <c r="S10" s="1490" t="s">
        <v>326</v>
      </c>
      <c r="T10" s="3147"/>
      <c r="U10" s="3148"/>
      <c r="V10" s="3130"/>
      <c r="W10" s="1473"/>
      <c r="X10" s="1495" t="s">
        <v>325</v>
      </c>
      <c r="Y10" s="1490" t="s">
        <v>326</v>
      </c>
      <c r="Z10" s="3147"/>
      <c r="AA10" s="3148"/>
      <c r="AB10" s="3130"/>
      <c r="AC10" s="1473"/>
      <c r="AD10" s="1495" t="s">
        <v>325</v>
      </c>
      <c r="AE10" s="1490" t="s">
        <v>326</v>
      </c>
      <c r="AF10" s="3147"/>
      <c r="AG10" s="3148"/>
      <c r="AH10" s="3145"/>
      <c r="AI10" s="3130"/>
      <c r="AJ10" s="1491"/>
      <c r="AK10" s="189" t="s">
        <v>327</v>
      </c>
      <c r="AL10" s="189" t="s">
        <v>144</v>
      </c>
      <c r="BM10" s="228">
        <v>23</v>
      </c>
    </row>
    <row r="11" spans="1:65" ht="15" customHeight="1">
      <c r="D11" s="3138" t="s">
        <v>124</v>
      </c>
      <c r="E11" s="3134" t="s">
        <v>328</v>
      </c>
      <c r="F11" s="3134" t="s">
        <v>329</v>
      </c>
      <c r="G11" s="3078" t="s">
        <v>19</v>
      </c>
      <c r="H11" s="1516"/>
      <c r="I11" s="3136"/>
      <c r="J11" s="3103"/>
      <c r="K11" s="1431"/>
      <c r="L11" s="3088"/>
      <c r="M11" s="3088"/>
      <c r="N11" s="1501"/>
      <c r="O11" s="3088"/>
      <c r="P11" s="3103"/>
      <c r="Q11" s="1502"/>
      <c r="R11" s="3088"/>
      <c r="S11" s="3088"/>
      <c r="T11" s="1503"/>
      <c r="U11" s="3088"/>
      <c r="V11" s="3103"/>
      <c r="W11" s="1504"/>
      <c r="X11" s="3088"/>
      <c r="Y11" s="3088"/>
      <c r="Z11" s="1501"/>
      <c r="AA11" s="3088"/>
      <c r="AB11" s="3103"/>
      <c r="AC11" s="1505"/>
      <c r="AD11" s="3088"/>
      <c r="AE11" s="3088"/>
      <c r="AF11" s="1430"/>
      <c r="AG11" s="1430"/>
      <c r="AH11" s="1506"/>
      <c r="AI11" s="1213"/>
      <c r="AJ11" s="1491"/>
      <c r="BM11" s="228">
        <v>14</v>
      </c>
    </row>
    <row r="12" spans="1:65" ht="14.65" customHeight="1">
      <c r="D12" s="3138"/>
      <c r="E12" s="3134"/>
      <c r="F12" s="3134"/>
      <c r="G12" s="3079"/>
      <c r="H12" s="1517"/>
      <c r="I12" s="3137"/>
      <c r="J12" s="3104"/>
      <c r="K12" s="1527"/>
      <c r="L12" s="3089"/>
      <c r="M12" s="3089"/>
      <c r="N12" s="1507"/>
      <c r="O12" s="3089"/>
      <c r="P12" s="3104"/>
      <c r="Q12" s="1508"/>
      <c r="R12" s="3089"/>
      <c r="S12" s="3089"/>
      <c r="T12" s="1509"/>
      <c r="U12" s="3089"/>
      <c r="V12" s="3104"/>
      <c r="W12" s="1510"/>
      <c r="X12" s="3089"/>
      <c r="Y12" s="3089"/>
      <c r="Z12" s="1507"/>
      <c r="AA12" s="3089"/>
      <c r="AB12" s="3104"/>
      <c r="AC12" s="1511"/>
      <c r="AD12" s="3089"/>
      <c r="AE12" s="3089"/>
      <c r="AF12" s="1512"/>
      <c r="AG12" s="1512"/>
      <c r="AH12" s="3132"/>
      <c r="AI12" s="3133"/>
      <c r="AJ12" s="1491"/>
      <c r="BM12" s="228">
        <v>14</v>
      </c>
    </row>
    <row r="13" spans="1:65" ht="14.65" customHeight="1">
      <c r="D13" s="3138"/>
      <c r="E13" s="3134"/>
      <c r="F13" s="3134"/>
      <c r="G13" s="3079"/>
      <c r="H13" s="1517"/>
      <c r="I13" s="3137"/>
      <c r="J13" s="3104"/>
      <c r="K13" s="1527"/>
      <c r="L13" s="3089"/>
      <c r="M13" s="3089"/>
      <c r="N13" s="1507"/>
      <c r="O13" s="3089"/>
      <c r="P13" s="3104"/>
      <c r="Q13" s="1508"/>
      <c r="R13" s="3089"/>
      <c r="S13" s="3089"/>
      <c r="T13" s="1509"/>
      <c r="U13" s="3089"/>
      <c r="V13" s="3104"/>
      <c r="W13" s="1510"/>
      <c r="X13" s="3089"/>
      <c r="Y13" s="3089"/>
      <c r="Z13" s="1429"/>
      <c r="AA13" s="1512"/>
      <c r="AB13" s="3132"/>
      <c r="AC13" s="3132"/>
      <c r="AD13" s="3132"/>
      <c r="AE13" s="3132"/>
      <c r="AF13" s="3132"/>
      <c r="AG13" s="3132"/>
      <c r="AH13" s="3132"/>
      <c r="AI13" s="3133"/>
      <c r="AJ13" s="1491"/>
      <c r="BM13" s="228">
        <v>14</v>
      </c>
    </row>
    <row r="14" spans="1:65" ht="14.65" customHeight="1">
      <c r="D14" s="3138"/>
      <c r="E14" s="3134"/>
      <c r="F14" s="3134"/>
      <c r="G14" s="3079"/>
      <c r="H14" s="1517"/>
      <c r="I14" s="3137"/>
      <c r="J14" s="3104"/>
      <c r="K14" s="1527"/>
      <c r="L14" s="3089"/>
      <c r="M14" s="3089"/>
      <c r="N14" s="1507"/>
      <c r="O14" s="3089"/>
      <c r="P14" s="3104"/>
      <c r="Q14" s="1508"/>
      <c r="R14" s="3089"/>
      <c r="S14" s="3089"/>
      <c r="T14" s="1513"/>
      <c r="U14" s="1514"/>
      <c r="V14" s="3132"/>
      <c r="W14" s="3132"/>
      <c r="X14" s="3132"/>
      <c r="Y14" s="3132"/>
      <c r="Z14" s="3132"/>
      <c r="AA14" s="3132"/>
      <c r="AB14" s="3132"/>
      <c r="AC14" s="3132"/>
      <c r="AD14" s="3132"/>
      <c r="AE14" s="3132"/>
      <c r="AF14" s="3132"/>
      <c r="AG14" s="3132"/>
      <c r="AH14" s="3132"/>
      <c r="AI14" s="3133"/>
      <c r="AJ14" s="1491"/>
      <c r="BM14" s="228">
        <v>14</v>
      </c>
    </row>
    <row r="15" spans="1:65" ht="11.5" customHeight="1">
      <c r="D15" s="3138"/>
      <c r="E15" s="3134"/>
      <c r="F15" s="3134"/>
      <c r="G15" s="3079"/>
      <c r="H15" s="1518"/>
      <c r="I15" s="3137"/>
      <c r="J15" s="3104"/>
      <c r="K15" s="1527"/>
      <c r="L15" s="3089"/>
      <c r="M15" s="3089"/>
      <c r="N15" s="1512"/>
      <c r="O15" s="1512"/>
      <c r="P15" s="3132"/>
      <c r="Q15" s="3132"/>
      <c r="R15" s="3132"/>
      <c r="S15" s="3132"/>
      <c r="T15" s="3132"/>
      <c r="U15" s="3132"/>
      <c r="V15" s="3132"/>
      <c r="W15" s="3132"/>
      <c r="X15" s="3132"/>
      <c r="Y15" s="3132"/>
      <c r="Z15" s="3132"/>
      <c r="AA15" s="3132"/>
      <c r="AB15" s="3132"/>
      <c r="AC15" s="3132"/>
      <c r="AD15" s="3132"/>
      <c r="AE15" s="3132"/>
      <c r="AF15" s="3132"/>
      <c r="AG15" s="3132"/>
      <c r="AH15" s="3132"/>
      <c r="AI15" s="3133"/>
      <c r="AJ15" s="1491"/>
      <c r="BM15" s="228">
        <v>11</v>
      </c>
    </row>
    <row r="16" spans="1:65" s="2202" customFormat="1" ht="11.5" customHeight="1">
      <c r="D16" s="3142"/>
      <c r="E16" s="3143"/>
      <c r="F16" s="3135"/>
      <c r="G16" s="3053"/>
      <c r="H16" s="1515"/>
      <c r="I16" s="1519"/>
      <c r="J16" s="3140"/>
      <c r="K16" s="3140"/>
      <c r="L16" s="3140"/>
      <c r="M16" s="3140"/>
      <c r="N16" s="3140"/>
      <c r="O16" s="3140"/>
      <c r="P16" s="3140"/>
      <c r="Q16" s="3140"/>
      <c r="R16" s="3140"/>
      <c r="S16" s="3140"/>
      <c r="T16" s="3140"/>
      <c r="U16" s="3140"/>
      <c r="V16" s="3140"/>
      <c r="W16" s="3140"/>
      <c r="X16" s="3140"/>
      <c r="Y16" s="3140"/>
      <c r="Z16" s="3140"/>
      <c r="AA16" s="3140"/>
      <c r="AB16" s="3140"/>
      <c r="AC16" s="3140"/>
      <c r="AD16" s="3140"/>
      <c r="AE16" s="3140"/>
      <c r="AF16" s="3140"/>
      <c r="AG16" s="3140"/>
      <c r="AH16" s="3140"/>
      <c r="AI16" s="3141"/>
      <c r="AJ16" s="1491"/>
      <c r="AK16" s="241"/>
      <c r="AL16" s="1491"/>
      <c r="AM16" s="1491"/>
      <c r="AN16" s="1491"/>
      <c r="AO16" s="1491"/>
      <c r="AP16" s="1491"/>
      <c r="AQ16" s="1491"/>
      <c r="AR16" s="1491"/>
      <c r="AS16" s="1491"/>
      <c r="AT16" s="1491"/>
      <c r="AU16" s="1491"/>
      <c r="AV16" s="1491"/>
      <c r="AW16" s="1491"/>
      <c r="AX16" s="1491"/>
      <c r="AY16" s="1491"/>
      <c r="AZ16" s="1491"/>
      <c r="BA16" s="1491"/>
      <c r="BB16" s="1491"/>
      <c r="BC16" s="1491"/>
      <c r="BD16" s="1491"/>
      <c r="BE16" s="1491"/>
      <c r="BF16" s="1491"/>
      <c r="BG16" s="1491"/>
      <c r="BH16" s="1491"/>
      <c r="BI16" s="1491"/>
      <c r="BJ16" s="1491"/>
      <c r="BK16" s="1491"/>
      <c r="BL16" s="1491"/>
      <c r="BM16" s="1471">
        <v>11</v>
      </c>
    </row>
    <row r="17" spans="4:65" ht="15" customHeight="1">
      <c r="D17" s="3138" t="s">
        <v>104</v>
      </c>
      <c r="E17" s="3134" t="s">
        <v>328</v>
      </c>
      <c r="F17" s="3134" t="s">
        <v>330</v>
      </c>
      <c r="G17" s="3078" t="s">
        <v>19</v>
      </c>
      <c r="H17" s="1516"/>
      <c r="I17" s="3136"/>
      <c r="J17" s="3103"/>
      <c r="K17" s="1431"/>
      <c r="L17" s="3088"/>
      <c r="M17" s="3088"/>
      <c r="N17" s="1501"/>
      <c r="O17" s="3088"/>
      <c r="P17" s="3103"/>
      <c r="Q17" s="1502"/>
      <c r="R17" s="3088"/>
      <c r="S17" s="3088"/>
      <c r="T17" s="1503"/>
      <c r="U17" s="3088"/>
      <c r="V17" s="3103"/>
      <c r="W17" s="1504"/>
      <c r="X17" s="3088"/>
      <c r="Y17" s="3088"/>
      <c r="Z17" s="1501"/>
      <c r="AA17" s="3088"/>
      <c r="AB17" s="3103"/>
      <c r="AC17" s="1505"/>
      <c r="AD17" s="3088"/>
      <c r="AE17" s="3088"/>
      <c r="AF17" s="1430"/>
      <c r="AG17" s="1430"/>
      <c r="AH17" s="1506"/>
      <c r="AI17" s="1213"/>
      <c r="AJ17" s="1491"/>
      <c r="BM17" s="228">
        <v>14</v>
      </c>
    </row>
    <row r="18" spans="4:65" ht="14.65" customHeight="1">
      <c r="D18" s="3138"/>
      <c r="E18" s="3134"/>
      <c r="F18" s="3134"/>
      <c r="G18" s="3079"/>
      <c r="H18" s="1517"/>
      <c r="I18" s="3137"/>
      <c r="J18" s="3104"/>
      <c r="K18" s="1500"/>
      <c r="L18" s="3089"/>
      <c r="M18" s="3089"/>
      <c r="N18" s="1507"/>
      <c r="O18" s="3089"/>
      <c r="P18" s="3104"/>
      <c r="Q18" s="1508"/>
      <c r="R18" s="3089"/>
      <c r="S18" s="3089"/>
      <c r="T18" s="1509"/>
      <c r="U18" s="3089"/>
      <c r="V18" s="3104"/>
      <c r="W18" s="1510"/>
      <c r="X18" s="3089"/>
      <c r="Y18" s="3089"/>
      <c r="Z18" s="1507"/>
      <c r="AA18" s="3089"/>
      <c r="AB18" s="3104"/>
      <c r="AC18" s="1511"/>
      <c r="AD18" s="3089"/>
      <c r="AE18" s="3089"/>
      <c r="AF18" s="1512"/>
      <c r="AG18" s="1512"/>
      <c r="AH18" s="3132"/>
      <c r="AI18" s="3133"/>
      <c r="AJ18" s="1491"/>
      <c r="BM18" s="228">
        <v>14</v>
      </c>
    </row>
    <row r="19" spans="4:65" ht="14.65" customHeight="1">
      <c r="D19" s="3138"/>
      <c r="E19" s="3134"/>
      <c r="F19" s="3134"/>
      <c r="G19" s="3079"/>
      <c r="H19" s="1517"/>
      <c r="I19" s="3137"/>
      <c r="J19" s="3104"/>
      <c r="K19" s="1500"/>
      <c r="L19" s="3089"/>
      <c r="M19" s="3089"/>
      <c r="N19" s="1507"/>
      <c r="O19" s="3089"/>
      <c r="P19" s="3104"/>
      <c r="Q19" s="1508"/>
      <c r="R19" s="3089"/>
      <c r="S19" s="3089"/>
      <c r="T19" s="1509"/>
      <c r="U19" s="3089"/>
      <c r="V19" s="3104"/>
      <c r="W19" s="1510"/>
      <c r="X19" s="3089"/>
      <c r="Y19" s="3089"/>
      <c r="Z19" s="1429"/>
      <c r="AA19" s="1512"/>
      <c r="AB19" s="3132"/>
      <c r="AC19" s="3132"/>
      <c r="AD19" s="3132"/>
      <c r="AE19" s="3132"/>
      <c r="AF19" s="3132"/>
      <c r="AG19" s="3132"/>
      <c r="AH19" s="3132"/>
      <c r="AI19" s="3133"/>
      <c r="AJ19" s="1491"/>
      <c r="BM19" s="228">
        <v>14</v>
      </c>
    </row>
    <row r="20" spans="4:65" ht="14.65" customHeight="1">
      <c r="D20" s="3138"/>
      <c r="E20" s="3134"/>
      <c r="F20" s="3134"/>
      <c r="G20" s="3079"/>
      <c r="H20" s="1517"/>
      <c r="I20" s="3137"/>
      <c r="J20" s="3104"/>
      <c r="K20" s="1500"/>
      <c r="L20" s="3089"/>
      <c r="M20" s="3089"/>
      <c r="N20" s="1507"/>
      <c r="O20" s="3089"/>
      <c r="P20" s="3104"/>
      <c r="Q20" s="1508"/>
      <c r="R20" s="3089"/>
      <c r="S20" s="3089"/>
      <c r="T20" s="1513"/>
      <c r="U20" s="1514"/>
      <c r="V20" s="3132"/>
      <c r="W20" s="3132"/>
      <c r="X20" s="3132"/>
      <c r="Y20" s="3132"/>
      <c r="Z20" s="3132"/>
      <c r="AA20" s="3132"/>
      <c r="AB20" s="3132"/>
      <c r="AC20" s="3132"/>
      <c r="AD20" s="3132"/>
      <c r="AE20" s="3132"/>
      <c r="AF20" s="3132"/>
      <c r="AG20" s="3132"/>
      <c r="AH20" s="3132"/>
      <c r="AI20" s="3133"/>
      <c r="AJ20" s="1491"/>
      <c r="BM20" s="228">
        <v>14</v>
      </c>
    </row>
    <row r="21" spans="4:65" ht="11.5" customHeight="1">
      <c r="D21" s="3138"/>
      <c r="E21" s="3134"/>
      <c r="F21" s="3134"/>
      <c r="G21" s="3079"/>
      <c r="H21" s="1518"/>
      <c r="I21" s="3137"/>
      <c r="J21" s="3104"/>
      <c r="K21" s="1500"/>
      <c r="L21" s="3089"/>
      <c r="M21" s="3089"/>
      <c r="N21" s="1512"/>
      <c r="O21" s="1512"/>
      <c r="P21" s="3132"/>
      <c r="Q21" s="3132"/>
      <c r="R21" s="3132"/>
      <c r="S21" s="3132"/>
      <c r="T21" s="3132"/>
      <c r="U21" s="3132"/>
      <c r="V21" s="3132"/>
      <c r="W21" s="3132"/>
      <c r="X21" s="3132"/>
      <c r="Y21" s="3132"/>
      <c r="Z21" s="3132"/>
      <c r="AA21" s="3132"/>
      <c r="AB21" s="3132"/>
      <c r="AC21" s="3132"/>
      <c r="AD21" s="3132"/>
      <c r="AE21" s="3132"/>
      <c r="AF21" s="3132"/>
      <c r="AG21" s="3132"/>
      <c r="AH21" s="3132"/>
      <c r="AI21" s="3133"/>
      <c r="AJ21" s="1491"/>
      <c r="BM21" s="228">
        <v>11</v>
      </c>
    </row>
    <row r="22" spans="4:65" s="2202" customFormat="1" ht="11.5" customHeight="1">
      <c r="D22" s="3142"/>
      <c r="E22" s="3143"/>
      <c r="F22" s="3135"/>
      <c r="G22" s="3053"/>
      <c r="H22" s="1515"/>
      <c r="I22" s="1519"/>
      <c r="J22" s="3140"/>
      <c r="K22" s="3140"/>
      <c r="L22" s="3140"/>
      <c r="M22" s="3140"/>
      <c r="N22" s="3140"/>
      <c r="O22" s="3140"/>
      <c r="P22" s="3140"/>
      <c r="Q22" s="3140"/>
      <c r="R22" s="3140"/>
      <c r="S22" s="3140"/>
      <c r="T22" s="3140"/>
      <c r="U22" s="3140"/>
      <c r="V22" s="3140"/>
      <c r="W22" s="3140"/>
      <c r="X22" s="3140"/>
      <c r="Y22" s="3140"/>
      <c r="Z22" s="3140"/>
      <c r="AA22" s="3140"/>
      <c r="AB22" s="3140"/>
      <c r="AC22" s="3140"/>
      <c r="AD22" s="3140"/>
      <c r="AE22" s="3140"/>
      <c r="AF22" s="3140"/>
      <c r="AG22" s="3140"/>
      <c r="AH22" s="3140"/>
      <c r="AI22" s="3141"/>
      <c r="AJ22" s="1491"/>
      <c r="AK22" s="241"/>
      <c r="AL22" s="1491"/>
      <c r="AM22" s="1491"/>
      <c r="AN22" s="1491"/>
      <c r="AO22" s="1491"/>
      <c r="AP22" s="1491"/>
      <c r="AQ22" s="1491"/>
      <c r="AR22" s="1491"/>
      <c r="AS22" s="1491"/>
      <c r="AT22" s="1491"/>
      <c r="AU22" s="1491"/>
      <c r="AV22" s="1491"/>
      <c r="AW22" s="1491"/>
      <c r="AX22" s="1491"/>
      <c r="AY22" s="1491"/>
      <c r="AZ22" s="1491"/>
      <c r="BA22" s="1491"/>
      <c r="BB22" s="1491"/>
      <c r="BC22" s="1491"/>
      <c r="BD22" s="1491"/>
      <c r="BE22" s="1491"/>
      <c r="BF22" s="1491"/>
      <c r="BG22" s="1491"/>
      <c r="BH22" s="1491"/>
      <c r="BI22" s="1491"/>
      <c r="BJ22" s="1491"/>
      <c r="BK22" s="1491"/>
      <c r="BL22" s="1491"/>
      <c r="BM22" s="1471">
        <v>11</v>
      </c>
    </row>
    <row r="23" spans="4:65" ht="15" customHeight="1">
      <c r="D23" s="3138" t="s">
        <v>91</v>
      </c>
      <c r="E23" s="3134" t="s">
        <v>328</v>
      </c>
      <c r="F23" s="3134" t="s">
        <v>331</v>
      </c>
      <c r="G23" s="3078" t="s">
        <v>19</v>
      </c>
      <c r="H23" s="1516"/>
      <c r="I23" s="3136"/>
      <c r="J23" s="3103"/>
      <c r="K23" s="1431"/>
      <c r="L23" s="3088"/>
      <c r="M23" s="3088"/>
      <c r="N23" s="1501"/>
      <c r="O23" s="3088"/>
      <c r="P23" s="3103"/>
      <c r="Q23" s="1502"/>
      <c r="R23" s="3088"/>
      <c r="S23" s="3088"/>
      <c r="T23" s="1503"/>
      <c r="U23" s="3088"/>
      <c r="V23" s="3103"/>
      <c r="W23" s="1504"/>
      <c r="X23" s="3088"/>
      <c r="Y23" s="3088"/>
      <c r="Z23" s="1501"/>
      <c r="AA23" s="3088"/>
      <c r="AB23" s="3103"/>
      <c r="AC23" s="1505"/>
      <c r="AD23" s="3088"/>
      <c r="AE23" s="3088"/>
      <c r="AF23" s="1430"/>
      <c r="AG23" s="1430"/>
      <c r="AH23" s="1506"/>
      <c r="AI23" s="1213"/>
      <c r="AJ23" s="1491"/>
      <c r="AK23" s="241" t="s">
        <v>99</v>
      </c>
      <c r="BM23" s="228">
        <v>14</v>
      </c>
    </row>
    <row r="24" spans="4:65" ht="14.65" customHeight="1">
      <c r="D24" s="3138"/>
      <c r="E24" s="3134"/>
      <c r="F24" s="3134"/>
      <c r="G24" s="3079"/>
      <c r="H24" s="1517"/>
      <c r="I24" s="3137"/>
      <c r="J24" s="3104"/>
      <c r="K24" s="1527"/>
      <c r="L24" s="3089"/>
      <c r="M24" s="3089"/>
      <c r="N24" s="1507"/>
      <c r="O24" s="3089"/>
      <c r="P24" s="3104"/>
      <c r="Q24" s="1508"/>
      <c r="R24" s="3089"/>
      <c r="S24" s="3089"/>
      <c r="T24" s="1509"/>
      <c r="U24" s="3089"/>
      <c r="V24" s="3104"/>
      <c r="W24" s="1510"/>
      <c r="X24" s="3089"/>
      <c r="Y24" s="3089"/>
      <c r="Z24" s="1507"/>
      <c r="AA24" s="3089"/>
      <c r="AB24" s="3104"/>
      <c r="AC24" s="1511"/>
      <c r="AD24" s="3089"/>
      <c r="AE24" s="3089"/>
      <c r="AF24" s="1512"/>
      <c r="AG24" s="1512"/>
      <c r="AH24" s="3132"/>
      <c r="AI24" s="3133"/>
      <c r="AJ24" s="1491"/>
      <c r="BM24" s="228">
        <v>14</v>
      </c>
    </row>
    <row r="25" spans="4:65" ht="14.65" customHeight="1">
      <c r="D25" s="3138"/>
      <c r="E25" s="3134"/>
      <c r="F25" s="3134"/>
      <c r="G25" s="3079"/>
      <c r="H25" s="1517"/>
      <c r="I25" s="3137"/>
      <c r="J25" s="3104"/>
      <c r="K25" s="1527"/>
      <c r="L25" s="3089"/>
      <c r="M25" s="3089"/>
      <c r="N25" s="1507"/>
      <c r="O25" s="3089"/>
      <c r="P25" s="3104"/>
      <c r="Q25" s="1508"/>
      <c r="R25" s="3089"/>
      <c r="S25" s="3089"/>
      <c r="T25" s="1509"/>
      <c r="U25" s="3089"/>
      <c r="V25" s="3104"/>
      <c r="W25" s="1510"/>
      <c r="X25" s="3089"/>
      <c r="Y25" s="3089"/>
      <c r="Z25" s="1429"/>
      <c r="AA25" s="1512"/>
      <c r="AB25" s="3132"/>
      <c r="AC25" s="3132"/>
      <c r="AD25" s="3132"/>
      <c r="AE25" s="3132"/>
      <c r="AF25" s="3132"/>
      <c r="AG25" s="3132"/>
      <c r="AH25" s="3132"/>
      <c r="AI25" s="3133"/>
      <c r="AJ25" s="1491"/>
      <c r="BM25" s="228">
        <v>14</v>
      </c>
    </row>
    <row r="26" spans="4:65" ht="14.65" customHeight="1">
      <c r="D26" s="3138"/>
      <c r="E26" s="3134"/>
      <c r="F26" s="3134"/>
      <c r="G26" s="3079"/>
      <c r="H26" s="1517"/>
      <c r="I26" s="3137"/>
      <c r="J26" s="3104"/>
      <c r="K26" s="1527"/>
      <c r="L26" s="3089"/>
      <c r="M26" s="3089"/>
      <c r="N26" s="1507"/>
      <c r="O26" s="3089"/>
      <c r="P26" s="3104"/>
      <c r="Q26" s="1508"/>
      <c r="R26" s="3089"/>
      <c r="S26" s="3089"/>
      <c r="T26" s="1513"/>
      <c r="U26" s="1514"/>
      <c r="V26" s="3132"/>
      <c r="W26" s="3132"/>
      <c r="X26" s="3132"/>
      <c r="Y26" s="3132"/>
      <c r="Z26" s="3132"/>
      <c r="AA26" s="3132"/>
      <c r="AB26" s="3132"/>
      <c r="AC26" s="3132"/>
      <c r="AD26" s="3132"/>
      <c r="AE26" s="3132"/>
      <c r="AF26" s="3132"/>
      <c r="AG26" s="3132"/>
      <c r="AH26" s="3132"/>
      <c r="AI26" s="3133"/>
      <c r="AJ26" s="1491"/>
      <c r="BM26" s="228">
        <v>14</v>
      </c>
    </row>
    <row r="27" spans="4:65" ht="11.5" customHeight="1">
      <c r="D27" s="3138"/>
      <c r="E27" s="3134"/>
      <c r="F27" s="3134"/>
      <c r="G27" s="3079"/>
      <c r="H27" s="1518"/>
      <c r="I27" s="3137"/>
      <c r="J27" s="3104"/>
      <c r="K27" s="1527"/>
      <c r="L27" s="3089"/>
      <c r="M27" s="3089"/>
      <c r="N27" s="1512"/>
      <c r="O27" s="1512"/>
      <c r="P27" s="3132"/>
      <c r="Q27" s="3132"/>
      <c r="R27" s="3132"/>
      <c r="S27" s="3132"/>
      <c r="T27" s="3132"/>
      <c r="U27" s="3132"/>
      <c r="V27" s="3132"/>
      <c r="W27" s="3132"/>
      <c r="X27" s="3132"/>
      <c r="Y27" s="3132"/>
      <c r="Z27" s="3132"/>
      <c r="AA27" s="3132"/>
      <c r="AB27" s="3132"/>
      <c r="AC27" s="3132"/>
      <c r="AD27" s="3132"/>
      <c r="AE27" s="3132"/>
      <c r="AF27" s="3132"/>
      <c r="AG27" s="3132"/>
      <c r="AH27" s="3132"/>
      <c r="AI27" s="3133"/>
      <c r="AJ27" s="1491"/>
      <c r="BM27" s="228">
        <v>11</v>
      </c>
    </row>
    <row r="28" spans="4:65" s="2202" customFormat="1" ht="11.5" customHeight="1">
      <c r="D28" s="3142"/>
      <c r="E28" s="3143"/>
      <c r="F28" s="3135"/>
      <c r="G28" s="3053"/>
      <c r="H28" s="1515"/>
      <c r="I28" s="1519"/>
      <c r="J28" s="3140"/>
      <c r="K28" s="3140"/>
      <c r="L28" s="3140"/>
      <c r="M28" s="3140"/>
      <c r="N28" s="3140"/>
      <c r="O28" s="3140"/>
      <c r="P28" s="3140"/>
      <c r="Q28" s="3140"/>
      <c r="R28" s="3140"/>
      <c r="S28" s="3140"/>
      <c r="T28" s="3140"/>
      <c r="U28" s="3140"/>
      <c r="V28" s="3140"/>
      <c r="W28" s="3140"/>
      <c r="X28" s="3140"/>
      <c r="Y28" s="3140"/>
      <c r="Z28" s="3140"/>
      <c r="AA28" s="3140"/>
      <c r="AB28" s="3140"/>
      <c r="AC28" s="3140"/>
      <c r="AD28" s="3140"/>
      <c r="AE28" s="3140"/>
      <c r="AF28" s="3140"/>
      <c r="AG28" s="3140"/>
      <c r="AH28" s="3140"/>
      <c r="AI28" s="3141"/>
      <c r="AJ28" s="1491"/>
      <c r="AK28" s="241"/>
      <c r="AL28" s="1491"/>
      <c r="AM28" s="1491"/>
      <c r="AN28" s="1491"/>
      <c r="AO28" s="1491"/>
      <c r="AP28" s="1491"/>
      <c r="AQ28" s="1491"/>
      <c r="AR28" s="1491"/>
      <c r="AS28" s="1491"/>
      <c r="AT28" s="1491"/>
      <c r="AU28" s="1491"/>
      <c r="AV28" s="1491"/>
      <c r="AW28" s="1491"/>
      <c r="AX28" s="1491"/>
      <c r="AY28" s="1491"/>
      <c r="AZ28" s="1491"/>
      <c r="BA28" s="1491"/>
      <c r="BB28" s="1491"/>
      <c r="BC28" s="1491"/>
      <c r="BD28" s="1491"/>
      <c r="BE28" s="1491"/>
      <c r="BF28" s="1491"/>
      <c r="BG28" s="1491"/>
      <c r="BH28" s="1491"/>
      <c r="BI28" s="1491"/>
      <c r="BJ28" s="1491"/>
      <c r="BK28" s="1491"/>
      <c r="BL28" s="1491"/>
      <c r="BM28" s="1471">
        <v>11</v>
      </c>
    </row>
    <row r="29" spans="4:65" ht="15" customHeight="1">
      <c r="D29" s="3138" t="s">
        <v>92</v>
      </c>
      <c r="E29" s="3134" t="s">
        <v>328</v>
      </c>
      <c r="F29" s="3134" t="s">
        <v>332</v>
      </c>
      <c r="G29" s="3078" t="s">
        <v>19</v>
      </c>
      <c r="H29" s="1516"/>
      <c r="I29" s="3136"/>
      <c r="J29" s="3103"/>
      <c r="K29" s="1431"/>
      <c r="L29" s="3088"/>
      <c r="M29" s="3088"/>
      <c r="N29" s="1501"/>
      <c r="O29" s="3088"/>
      <c r="P29" s="3103"/>
      <c r="Q29" s="1502"/>
      <c r="R29" s="3088"/>
      <c r="S29" s="3088"/>
      <c r="T29" s="1503"/>
      <c r="U29" s="3088"/>
      <c r="V29" s="3103"/>
      <c r="W29" s="1504"/>
      <c r="X29" s="3088"/>
      <c r="Y29" s="3088"/>
      <c r="Z29" s="1501"/>
      <c r="AA29" s="3088"/>
      <c r="AB29" s="3103"/>
      <c r="AC29" s="1505"/>
      <c r="AD29" s="3088"/>
      <c r="AE29" s="3088"/>
      <c r="AF29" s="1430"/>
      <c r="AG29" s="1430"/>
      <c r="AH29" s="1506"/>
      <c r="AI29" s="1213"/>
      <c r="AJ29" s="1491"/>
      <c r="BM29" s="228">
        <v>14</v>
      </c>
    </row>
    <row r="30" spans="4:65" ht="14.65" customHeight="1">
      <c r="D30" s="3138"/>
      <c r="E30" s="3134"/>
      <c r="F30" s="3134"/>
      <c r="G30" s="3079"/>
      <c r="H30" s="1517"/>
      <c r="I30" s="3137"/>
      <c r="J30" s="3104"/>
      <c r="K30" s="1500"/>
      <c r="L30" s="3089"/>
      <c r="M30" s="3089"/>
      <c r="N30" s="1507"/>
      <c r="O30" s="3089"/>
      <c r="P30" s="3104"/>
      <c r="Q30" s="1508"/>
      <c r="R30" s="3089"/>
      <c r="S30" s="3089"/>
      <c r="T30" s="1509"/>
      <c r="U30" s="3089"/>
      <c r="V30" s="3104"/>
      <c r="W30" s="1510"/>
      <c r="X30" s="3089"/>
      <c r="Y30" s="3089"/>
      <c r="Z30" s="1507"/>
      <c r="AA30" s="3089"/>
      <c r="AB30" s="3104"/>
      <c r="AC30" s="1511"/>
      <c r="AD30" s="3089"/>
      <c r="AE30" s="3089"/>
      <c r="AF30" s="1512"/>
      <c r="AG30" s="1512"/>
      <c r="AH30" s="3132"/>
      <c r="AI30" s="3133"/>
      <c r="AJ30" s="1491"/>
      <c r="BM30" s="228">
        <v>14</v>
      </c>
    </row>
    <row r="31" spans="4:65" ht="14.65" customHeight="1">
      <c r="D31" s="3138"/>
      <c r="E31" s="3134"/>
      <c r="F31" s="3134"/>
      <c r="G31" s="3079"/>
      <c r="H31" s="1517"/>
      <c r="I31" s="3137"/>
      <c r="J31" s="3104"/>
      <c r="K31" s="1500"/>
      <c r="L31" s="3089"/>
      <c r="M31" s="3089"/>
      <c r="N31" s="1507"/>
      <c r="O31" s="3089"/>
      <c r="P31" s="3104"/>
      <c r="Q31" s="1508"/>
      <c r="R31" s="3089"/>
      <c r="S31" s="3089"/>
      <c r="T31" s="1509"/>
      <c r="U31" s="3089"/>
      <c r="V31" s="3104"/>
      <c r="W31" s="1510"/>
      <c r="X31" s="3089"/>
      <c r="Y31" s="3089"/>
      <c r="Z31" s="1429"/>
      <c r="AA31" s="1512"/>
      <c r="AB31" s="3132"/>
      <c r="AC31" s="3132"/>
      <c r="AD31" s="3132"/>
      <c r="AE31" s="3132"/>
      <c r="AF31" s="3132"/>
      <c r="AG31" s="3132"/>
      <c r="AH31" s="3132"/>
      <c r="AI31" s="3133"/>
      <c r="AJ31" s="1491"/>
      <c r="BM31" s="228">
        <v>14</v>
      </c>
    </row>
    <row r="32" spans="4:65" ht="14.65" customHeight="1">
      <c r="D32" s="3138"/>
      <c r="E32" s="3134"/>
      <c r="F32" s="3134"/>
      <c r="G32" s="3079"/>
      <c r="H32" s="1517"/>
      <c r="I32" s="3137"/>
      <c r="J32" s="3104"/>
      <c r="K32" s="1500"/>
      <c r="L32" s="3089"/>
      <c r="M32" s="3089"/>
      <c r="N32" s="1507"/>
      <c r="O32" s="3089"/>
      <c r="P32" s="3104"/>
      <c r="Q32" s="1508"/>
      <c r="R32" s="3089"/>
      <c r="S32" s="3089"/>
      <c r="T32" s="1513"/>
      <c r="U32" s="1514"/>
      <c r="V32" s="3132"/>
      <c r="W32" s="3132"/>
      <c r="X32" s="3132"/>
      <c r="Y32" s="3132"/>
      <c r="Z32" s="3132"/>
      <c r="AA32" s="3132"/>
      <c r="AB32" s="3132"/>
      <c r="AC32" s="3132"/>
      <c r="AD32" s="3132"/>
      <c r="AE32" s="3132"/>
      <c r="AF32" s="3132"/>
      <c r="AG32" s="3132"/>
      <c r="AH32" s="3132"/>
      <c r="AI32" s="3133"/>
      <c r="AJ32" s="1491"/>
      <c r="BM32" s="228">
        <v>14</v>
      </c>
    </row>
    <row r="33" spans="4:65" ht="11.5" customHeight="1">
      <c r="D33" s="3138"/>
      <c r="E33" s="3134"/>
      <c r="F33" s="3134"/>
      <c r="G33" s="3079"/>
      <c r="H33" s="1518"/>
      <c r="I33" s="3137"/>
      <c r="J33" s="3104"/>
      <c r="K33" s="1500"/>
      <c r="L33" s="3089"/>
      <c r="M33" s="3089"/>
      <c r="N33" s="1512"/>
      <c r="O33" s="1512"/>
      <c r="P33" s="3132"/>
      <c r="Q33" s="3132"/>
      <c r="R33" s="3132"/>
      <c r="S33" s="3132"/>
      <c r="T33" s="3132"/>
      <c r="U33" s="3132"/>
      <c r="V33" s="3132"/>
      <c r="W33" s="3132"/>
      <c r="X33" s="3132"/>
      <c r="Y33" s="3132"/>
      <c r="Z33" s="3132"/>
      <c r="AA33" s="3132"/>
      <c r="AB33" s="3132"/>
      <c r="AC33" s="3132"/>
      <c r="AD33" s="3132"/>
      <c r="AE33" s="3132"/>
      <c r="AF33" s="3132"/>
      <c r="AG33" s="3132"/>
      <c r="AH33" s="3132"/>
      <c r="AI33" s="3133"/>
      <c r="AJ33" s="1491"/>
      <c r="BM33" s="228">
        <v>11</v>
      </c>
    </row>
    <row r="34" spans="4:65" s="2202" customFormat="1" ht="11.5" customHeight="1">
      <c r="D34" s="3142"/>
      <c r="E34" s="3143"/>
      <c r="F34" s="3135"/>
      <c r="G34" s="3053"/>
      <c r="H34" s="1515"/>
      <c r="I34" s="1519"/>
      <c r="J34" s="3140"/>
      <c r="K34" s="3140"/>
      <c r="L34" s="3140"/>
      <c r="M34" s="3140"/>
      <c r="N34" s="3140"/>
      <c r="O34" s="3140"/>
      <c r="P34" s="3140"/>
      <c r="Q34" s="3140"/>
      <c r="R34" s="3140"/>
      <c r="S34" s="3140"/>
      <c r="T34" s="3140"/>
      <c r="U34" s="3140"/>
      <c r="V34" s="3140"/>
      <c r="W34" s="3140"/>
      <c r="X34" s="3140"/>
      <c r="Y34" s="3140"/>
      <c r="Z34" s="3140"/>
      <c r="AA34" s="3140"/>
      <c r="AB34" s="3140"/>
      <c r="AC34" s="3140"/>
      <c r="AD34" s="3140"/>
      <c r="AE34" s="3140"/>
      <c r="AF34" s="3140"/>
      <c r="AG34" s="3140"/>
      <c r="AH34" s="3140"/>
      <c r="AI34" s="3141"/>
      <c r="AJ34" s="1491"/>
      <c r="AK34" s="241"/>
      <c r="AL34" s="1491"/>
      <c r="AM34" s="1491"/>
      <c r="AN34" s="1491"/>
      <c r="AO34" s="1491"/>
      <c r="AP34" s="1491"/>
      <c r="AQ34" s="1491"/>
      <c r="AR34" s="1491"/>
      <c r="AS34" s="1491"/>
      <c r="AT34" s="1491"/>
      <c r="AU34" s="1491"/>
      <c r="AV34" s="1491"/>
      <c r="AW34" s="1491"/>
      <c r="AX34" s="1491"/>
      <c r="AY34" s="1491"/>
      <c r="AZ34" s="1491"/>
      <c r="BA34" s="1491"/>
      <c r="BB34" s="1491"/>
      <c r="BC34" s="1491"/>
      <c r="BD34" s="1491"/>
      <c r="BE34" s="1491"/>
      <c r="BF34" s="1491"/>
      <c r="BG34" s="1491"/>
      <c r="BH34" s="1491"/>
      <c r="BI34" s="1491"/>
      <c r="BJ34" s="1491"/>
      <c r="BK34" s="1491"/>
      <c r="BL34" s="1491"/>
      <c r="BM34" s="1471">
        <v>11</v>
      </c>
    </row>
    <row r="35" spans="4:65" ht="15" customHeight="1">
      <c r="D35" s="3138" t="s">
        <v>125</v>
      </c>
      <c r="E35" s="3134" t="s">
        <v>328</v>
      </c>
      <c r="F35" s="3134" t="s">
        <v>333</v>
      </c>
      <c r="G35" s="3078" t="s">
        <v>19</v>
      </c>
      <c r="H35" s="1516"/>
      <c r="I35" s="3136"/>
      <c r="J35" s="3103"/>
      <c r="K35" s="1431"/>
      <c r="L35" s="3088"/>
      <c r="M35" s="3088"/>
      <c r="N35" s="1501"/>
      <c r="O35" s="3088"/>
      <c r="P35" s="3103"/>
      <c r="Q35" s="1502"/>
      <c r="R35" s="3088"/>
      <c r="S35" s="3088"/>
      <c r="T35" s="1503"/>
      <c r="U35" s="3088"/>
      <c r="V35" s="3103"/>
      <c r="W35" s="1504"/>
      <c r="X35" s="3088"/>
      <c r="Y35" s="3088"/>
      <c r="Z35" s="1501"/>
      <c r="AA35" s="3088"/>
      <c r="AB35" s="3103"/>
      <c r="AC35" s="1505"/>
      <c r="AD35" s="3088"/>
      <c r="AE35" s="3088"/>
      <c r="AF35" s="1430"/>
      <c r="AG35" s="1430"/>
      <c r="AH35" s="1506"/>
      <c r="AI35" s="1213"/>
      <c r="AJ35" s="1491"/>
      <c r="BM35" s="228">
        <v>14</v>
      </c>
    </row>
    <row r="36" spans="4:65" ht="14.65" customHeight="1">
      <c r="D36" s="3138"/>
      <c r="E36" s="3134"/>
      <c r="F36" s="3134"/>
      <c r="G36" s="3079"/>
      <c r="H36" s="1517"/>
      <c r="I36" s="3137"/>
      <c r="J36" s="3104"/>
      <c r="K36" s="1500"/>
      <c r="L36" s="3089"/>
      <c r="M36" s="3089"/>
      <c r="N36" s="1507"/>
      <c r="O36" s="3089"/>
      <c r="P36" s="3104"/>
      <c r="Q36" s="1508"/>
      <c r="R36" s="3089"/>
      <c r="S36" s="3089"/>
      <c r="T36" s="1509"/>
      <c r="U36" s="3089"/>
      <c r="V36" s="3104"/>
      <c r="W36" s="1510"/>
      <c r="X36" s="3089"/>
      <c r="Y36" s="3089"/>
      <c r="Z36" s="1507"/>
      <c r="AA36" s="3089"/>
      <c r="AB36" s="3104"/>
      <c r="AC36" s="1511"/>
      <c r="AD36" s="3089"/>
      <c r="AE36" s="3089"/>
      <c r="AF36" s="1512"/>
      <c r="AG36" s="1512"/>
      <c r="AH36" s="3132"/>
      <c r="AI36" s="3133"/>
      <c r="AJ36" s="1491"/>
      <c r="BM36" s="228">
        <v>14</v>
      </c>
    </row>
    <row r="37" spans="4:65" ht="14.65" customHeight="1">
      <c r="D37" s="3138"/>
      <c r="E37" s="3134"/>
      <c r="F37" s="3134"/>
      <c r="G37" s="3079"/>
      <c r="H37" s="1517"/>
      <c r="I37" s="3137"/>
      <c r="J37" s="3104"/>
      <c r="K37" s="1500"/>
      <c r="L37" s="3089"/>
      <c r="M37" s="3089"/>
      <c r="N37" s="1507"/>
      <c r="O37" s="3089"/>
      <c r="P37" s="3104"/>
      <c r="Q37" s="1508"/>
      <c r="R37" s="3089"/>
      <c r="S37" s="3089"/>
      <c r="T37" s="1509"/>
      <c r="U37" s="3089"/>
      <c r="V37" s="3104"/>
      <c r="W37" s="1510"/>
      <c r="X37" s="3089"/>
      <c r="Y37" s="3089"/>
      <c r="Z37" s="1429"/>
      <c r="AA37" s="1512"/>
      <c r="AB37" s="3132"/>
      <c r="AC37" s="3132"/>
      <c r="AD37" s="3132"/>
      <c r="AE37" s="3132"/>
      <c r="AF37" s="3132"/>
      <c r="AG37" s="3132"/>
      <c r="AH37" s="3132"/>
      <c r="AI37" s="3133"/>
      <c r="AJ37" s="1491"/>
      <c r="BM37" s="228">
        <v>14</v>
      </c>
    </row>
    <row r="38" spans="4:65" ht="14.65" customHeight="1">
      <c r="D38" s="3138"/>
      <c r="E38" s="3134"/>
      <c r="F38" s="3134"/>
      <c r="G38" s="3079"/>
      <c r="H38" s="1517"/>
      <c r="I38" s="3137"/>
      <c r="J38" s="3104"/>
      <c r="K38" s="1500"/>
      <c r="L38" s="3089"/>
      <c r="M38" s="3089"/>
      <c r="N38" s="1507"/>
      <c r="O38" s="3089"/>
      <c r="P38" s="3104"/>
      <c r="Q38" s="1508"/>
      <c r="R38" s="3089"/>
      <c r="S38" s="3089"/>
      <c r="T38" s="1513"/>
      <c r="U38" s="1514"/>
      <c r="V38" s="3132"/>
      <c r="W38" s="3132"/>
      <c r="X38" s="3132"/>
      <c r="Y38" s="3132"/>
      <c r="Z38" s="3132"/>
      <c r="AA38" s="3132"/>
      <c r="AB38" s="3132"/>
      <c r="AC38" s="3132"/>
      <c r="AD38" s="3132"/>
      <c r="AE38" s="3132"/>
      <c r="AF38" s="3132"/>
      <c r="AG38" s="3132"/>
      <c r="AH38" s="3132"/>
      <c r="AI38" s="3133"/>
      <c r="AJ38" s="1491"/>
      <c r="BM38" s="228">
        <v>14</v>
      </c>
    </row>
    <row r="39" spans="4:65" ht="11.5" customHeight="1">
      <c r="D39" s="3138"/>
      <c r="E39" s="3134"/>
      <c r="F39" s="3134"/>
      <c r="G39" s="3079"/>
      <c r="H39" s="1518"/>
      <c r="I39" s="3137"/>
      <c r="J39" s="3104"/>
      <c r="K39" s="1500"/>
      <c r="L39" s="3089"/>
      <c r="M39" s="3089"/>
      <c r="N39" s="1512"/>
      <c r="O39" s="1512"/>
      <c r="P39" s="3132"/>
      <c r="Q39" s="3132"/>
      <c r="R39" s="3132"/>
      <c r="S39" s="3132"/>
      <c r="T39" s="3132"/>
      <c r="U39" s="3132"/>
      <c r="V39" s="3132"/>
      <c r="W39" s="3132"/>
      <c r="X39" s="3132"/>
      <c r="Y39" s="3132"/>
      <c r="Z39" s="3132"/>
      <c r="AA39" s="3132"/>
      <c r="AB39" s="3132"/>
      <c r="AC39" s="3132"/>
      <c r="AD39" s="3132"/>
      <c r="AE39" s="3132"/>
      <c r="AF39" s="3132"/>
      <c r="AG39" s="3132"/>
      <c r="AH39" s="3132"/>
      <c r="AI39" s="3133"/>
      <c r="AJ39" s="1491"/>
      <c r="BM39" s="228">
        <v>11</v>
      </c>
    </row>
    <row r="40" spans="4:65" s="2202" customFormat="1" ht="11.5" customHeight="1">
      <c r="D40" s="3138"/>
      <c r="E40" s="3134"/>
      <c r="F40" s="3139"/>
      <c r="G40" s="3053"/>
      <c r="H40" s="1515"/>
      <c r="I40" s="1519"/>
      <c r="J40" s="3140"/>
      <c r="K40" s="3140"/>
      <c r="L40" s="3140"/>
      <c r="M40" s="3140"/>
      <c r="N40" s="3140"/>
      <c r="O40" s="3140"/>
      <c r="P40" s="3140"/>
      <c r="Q40" s="3140"/>
      <c r="R40" s="3140"/>
      <c r="S40" s="3140"/>
      <c r="T40" s="3140"/>
      <c r="U40" s="3140"/>
      <c r="V40" s="3140"/>
      <c r="W40" s="3140"/>
      <c r="X40" s="3140"/>
      <c r="Y40" s="3140"/>
      <c r="Z40" s="3140"/>
      <c r="AA40" s="3140"/>
      <c r="AB40" s="3140"/>
      <c r="AC40" s="3140"/>
      <c r="AD40" s="3140"/>
      <c r="AE40" s="3140"/>
      <c r="AF40" s="3140"/>
      <c r="AG40" s="3140"/>
      <c r="AH40" s="3140"/>
      <c r="AI40" s="3141"/>
      <c r="AJ40" s="1491"/>
      <c r="AK40" s="241"/>
      <c r="AL40" s="1491"/>
      <c r="AM40" s="1491"/>
      <c r="AN40" s="1491"/>
      <c r="AO40" s="1491"/>
      <c r="AP40" s="1491"/>
      <c r="AQ40" s="1491"/>
      <c r="AR40" s="1491"/>
      <c r="AS40" s="1491"/>
      <c r="AT40" s="1491"/>
      <c r="AU40" s="1491"/>
      <c r="AV40" s="1491"/>
      <c r="AW40" s="1491"/>
      <c r="AX40" s="1491"/>
      <c r="AY40" s="1491"/>
      <c r="AZ40" s="1491"/>
      <c r="BA40" s="1491"/>
      <c r="BB40" s="1491"/>
      <c r="BC40" s="1491"/>
      <c r="BD40" s="1491"/>
      <c r="BE40" s="1491"/>
      <c r="BF40" s="1491"/>
      <c r="BG40" s="1491"/>
      <c r="BH40" s="1491"/>
      <c r="BI40" s="1491"/>
      <c r="BJ40" s="1491"/>
      <c r="BK40" s="1491"/>
      <c r="BL40" s="1491"/>
      <c r="BM40" s="1471">
        <v>11</v>
      </c>
    </row>
    <row r="41" spans="4:65" ht="11.5" customHeight="1">
      <c r="AK41" s="357"/>
      <c r="BM41" s="228">
        <v>11</v>
      </c>
    </row>
    <row r="42" spans="4:65" ht="11.5" customHeight="1">
      <c r="AK42" s="357"/>
      <c r="BM42" s="228">
        <v>11</v>
      </c>
    </row>
    <row r="43" spans="4:65" ht="11.5" customHeight="1">
      <c r="AK43" s="357"/>
      <c r="BM43" s="228">
        <v>11</v>
      </c>
    </row>
    <row r="44" spans="4:65" ht="11.5" customHeight="1">
      <c r="AK44" s="357"/>
      <c r="BM44" s="228">
        <v>11</v>
      </c>
    </row>
    <row r="45" spans="4:65" ht="11.5" customHeight="1">
      <c r="AK45" s="357"/>
      <c r="BM45" s="228">
        <v>11</v>
      </c>
    </row>
    <row r="46" spans="4:65" ht="11.5" customHeight="1">
      <c r="AK46" s="357"/>
      <c r="BM46" s="228">
        <v>11</v>
      </c>
    </row>
    <row r="47" spans="4:65" ht="11.5" customHeight="1">
      <c r="AK47" s="357"/>
      <c r="BM47" s="228">
        <v>11</v>
      </c>
    </row>
    <row r="48" spans="4:65" ht="11.5" customHeight="1">
      <c r="AK48" s="357"/>
      <c r="BM48" s="228">
        <v>11</v>
      </c>
    </row>
    <row r="49" spans="1:65" ht="11.5" customHeight="1">
      <c r="AK49" s="357"/>
      <c r="BM49" s="228">
        <v>11</v>
      </c>
    </row>
    <row r="50" spans="1:65" ht="11.25" hidden="1" customHeight="1">
      <c r="A50" s="228" t="s">
        <v>83</v>
      </c>
      <c r="B50" s="228">
        <v>0</v>
      </c>
      <c r="C50" s="228">
        <v>3</v>
      </c>
      <c r="D50" s="228">
        <v>3</v>
      </c>
      <c r="E50" s="228">
        <v>15</v>
      </c>
      <c r="F50" s="228">
        <v>15</v>
      </c>
      <c r="G50" s="228">
        <v>11</v>
      </c>
      <c r="H50" s="228">
        <v>3</v>
      </c>
      <c r="I50" s="228">
        <v>3</v>
      </c>
      <c r="J50" s="228">
        <v>12</v>
      </c>
      <c r="K50" s="228">
        <v>0</v>
      </c>
      <c r="L50" s="228">
        <v>10</v>
      </c>
      <c r="M50" s="228">
        <v>10</v>
      </c>
      <c r="N50" s="228">
        <v>3</v>
      </c>
      <c r="O50" s="228">
        <v>3</v>
      </c>
      <c r="P50" s="228">
        <v>19</v>
      </c>
      <c r="Q50" s="228">
        <v>0</v>
      </c>
      <c r="R50" s="228">
        <v>10</v>
      </c>
      <c r="S50" s="228">
        <v>10</v>
      </c>
      <c r="T50" s="228">
        <v>3</v>
      </c>
      <c r="U50" s="228">
        <v>3</v>
      </c>
      <c r="V50" s="228">
        <v>25</v>
      </c>
      <c r="W50" s="228">
        <v>0</v>
      </c>
      <c r="X50" s="228">
        <v>10</v>
      </c>
      <c r="Y50" s="228">
        <v>10</v>
      </c>
      <c r="Z50" s="228">
        <v>3</v>
      </c>
      <c r="AA50" s="228">
        <v>3</v>
      </c>
      <c r="AB50" s="228">
        <v>16</v>
      </c>
      <c r="AC50" s="228">
        <v>0</v>
      </c>
      <c r="AD50" s="228">
        <v>10</v>
      </c>
      <c r="AE50" s="228">
        <v>10</v>
      </c>
      <c r="AF50" s="228">
        <v>3</v>
      </c>
      <c r="AG50" s="228">
        <v>3</v>
      </c>
      <c r="AH50" s="228">
        <v>8</v>
      </c>
      <c r="AI50" s="228">
        <v>21</v>
      </c>
      <c r="AJ50" s="357">
        <v>8</v>
      </c>
      <c r="AK50" s="241">
        <v>8</v>
      </c>
      <c r="AL50" s="357">
        <v>8</v>
      </c>
      <c r="AM50" s="357">
        <v>8</v>
      </c>
      <c r="AN50" s="357">
        <v>8</v>
      </c>
      <c r="AO50" s="357">
        <v>8</v>
      </c>
      <c r="AP50" s="357">
        <v>8</v>
      </c>
      <c r="AQ50" s="357">
        <v>8</v>
      </c>
      <c r="AR50" s="357">
        <v>8</v>
      </c>
      <c r="AS50" s="357">
        <v>8</v>
      </c>
      <c r="AT50" s="357">
        <v>8</v>
      </c>
      <c r="AU50" s="357">
        <v>8</v>
      </c>
      <c r="AV50" s="357">
        <v>8</v>
      </c>
      <c r="AW50" s="357">
        <v>8</v>
      </c>
      <c r="AX50" s="357">
        <v>8</v>
      </c>
      <c r="AY50" s="357">
        <v>8</v>
      </c>
      <c r="AZ50" s="357">
        <v>8</v>
      </c>
      <c r="BA50" s="357">
        <v>8</v>
      </c>
      <c r="BB50" s="357">
        <v>8</v>
      </c>
      <c r="BC50" s="357">
        <v>8</v>
      </c>
      <c r="BD50" s="357">
        <v>8</v>
      </c>
      <c r="BE50" s="357">
        <v>8</v>
      </c>
      <c r="BF50" s="357">
        <v>8</v>
      </c>
      <c r="BG50" s="357">
        <v>8</v>
      </c>
      <c r="BH50" s="357">
        <v>8</v>
      </c>
      <c r="BI50" s="357">
        <v>8</v>
      </c>
      <c r="BJ50" s="357">
        <v>8</v>
      </c>
      <c r="BK50" s="357">
        <v>8</v>
      </c>
      <c r="BL50" s="357">
        <v>8</v>
      </c>
      <c r="BM50" s="228">
        <v>11</v>
      </c>
    </row>
  </sheetData>
  <sheetProtection formatColumns="0" formatRows="0" insertRows="0" deleteColumns="0" deleteRows="0" sort="0" autoFilter="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xr:uid="{00000000-0002-0000-0500-000000000000}">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xr:uid="{00000000-0002-0000-0500-000001000000}">
      <formula1>list_typeTKO</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515D97-C535-63F3-05DE-5C5B6EFFB42A}">
  <sheetPr>
    <tabColor theme="3" tint="0.59999389629810485"/>
  </sheetPr>
  <dimension ref="A1:J60"/>
  <sheetViews>
    <sheetView showGridLines="0" topLeftCell="C3" zoomScale="90" workbookViewId="0"/>
  </sheetViews>
  <sheetFormatPr defaultColWidth="9.09765625" defaultRowHeight="11.25" customHeight="1"/>
  <cols>
    <col min="1" max="1" width="15" style="2204" hidden="1" customWidth="1"/>
    <col min="2" max="2" width="15" style="2207" hidden="1" customWidth="1"/>
    <col min="3" max="3" width="3" style="2205" customWidth="1"/>
    <col min="4" max="4" width="6" style="2210" customWidth="1"/>
    <col min="5" max="5" width="52" style="2205" customWidth="1"/>
    <col min="6" max="6" width="48" style="2205" customWidth="1"/>
    <col min="7" max="7" width="121" style="2205" customWidth="1"/>
    <col min="8" max="8" width="8" style="2205" customWidth="1"/>
    <col min="9" max="9" width="64" style="2205" customWidth="1"/>
    <col min="10" max="10" width="9.09765625" style="2205" hidden="1"/>
  </cols>
  <sheetData>
    <row r="1" spans="1:10" ht="11.25" hidden="1" customHeight="1">
      <c r="A1" s="1603" t="s">
        <v>334</v>
      </c>
      <c r="J1" s="389" t="s">
        <v>14</v>
      </c>
    </row>
    <row r="2" spans="1:10" ht="11.25" hidden="1" customHeight="1">
      <c r="J2" s="389">
        <v>0</v>
      </c>
    </row>
    <row r="3" spans="1:10" s="2206" customFormat="1" ht="11.5" customHeight="1">
      <c r="A3" s="1603"/>
      <c r="B3" s="435"/>
      <c r="D3" s="412"/>
      <c r="J3" s="411">
        <v>11</v>
      </c>
    </row>
    <row r="4" spans="1:10" ht="27.25" customHeight="1">
      <c r="D4" s="3111"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3112"/>
      <c r="F4" s="3113"/>
      <c r="I4" s="649"/>
      <c r="J4" s="389">
        <v>26</v>
      </c>
    </row>
    <row r="5" spans="1:10" ht="18" customHeight="1">
      <c r="D5" s="3131" t="str">
        <f>IF(org=0,"Не определено",org)</f>
        <v>ООО "РСО"</v>
      </c>
      <c r="E5" s="3131"/>
      <c r="F5" s="3131"/>
      <c r="I5" s="649"/>
      <c r="J5" s="389">
        <v>17</v>
      </c>
    </row>
    <row r="6" spans="1:10" s="2206" customFormat="1" ht="11.5" customHeight="1">
      <c r="A6" s="1603"/>
      <c r="B6" s="435"/>
      <c r="D6" s="648"/>
      <c r="E6" s="648"/>
      <c r="F6" s="686"/>
      <c r="G6" s="648"/>
      <c r="J6" s="411">
        <v>11</v>
      </c>
    </row>
    <row r="7" spans="1:10" ht="11.25" hidden="1" customHeight="1">
      <c r="A7" s="391"/>
      <c r="B7" s="436"/>
      <c r="C7" s="391"/>
      <c r="D7" s="397"/>
      <c r="E7" s="3157"/>
      <c r="F7" s="3157"/>
      <c r="J7" s="389">
        <v>0</v>
      </c>
    </row>
    <row r="8" spans="1:10" ht="11.5" customHeight="1">
      <c r="A8" s="391"/>
      <c r="B8" s="436"/>
      <c r="C8" s="391"/>
      <c r="D8" s="3154" t="s">
        <v>335</v>
      </c>
      <c r="E8" s="3155"/>
      <c r="F8" s="3155"/>
      <c r="G8" s="3158" t="s">
        <v>336</v>
      </c>
      <c r="J8" s="389">
        <v>11</v>
      </c>
    </row>
    <row r="9" spans="1:10" ht="11.5" customHeight="1">
      <c r="A9" s="391"/>
      <c r="B9" s="436"/>
      <c r="C9" s="391"/>
      <c r="D9" s="406" t="s">
        <v>89</v>
      </c>
      <c r="E9" s="380" t="s">
        <v>337</v>
      </c>
      <c r="F9" s="380" t="s">
        <v>338</v>
      </c>
      <c r="G9" s="3159"/>
      <c r="J9" s="389">
        <v>11</v>
      </c>
    </row>
    <row r="10" spans="1:10" ht="12" hidden="1" customHeight="1">
      <c r="A10" s="391"/>
      <c r="B10" s="436"/>
      <c r="C10" s="391"/>
      <c r="D10" s="398"/>
      <c r="E10" s="398"/>
      <c r="F10" s="398"/>
      <c r="G10" s="398"/>
      <c r="J10" s="389">
        <v>0</v>
      </c>
    </row>
    <row r="11" spans="1:10" ht="22.5" hidden="1" customHeight="1">
      <c r="A11" s="391"/>
      <c r="B11" s="436"/>
      <c r="C11" s="391"/>
      <c r="D11" s="930" t="s">
        <v>124</v>
      </c>
      <c r="E11" s="933" t="s">
        <v>339</v>
      </c>
      <c r="F11" s="932" t="str">
        <f>IF(region_name="","",region_name)</f>
        <v>Камчатский край</v>
      </c>
      <c r="G11" s="933" t="s">
        <v>340</v>
      </c>
      <c r="H11" s="409"/>
      <c r="J11" s="389">
        <v>0</v>
      </c>
    </row>
    <row r="12" spans="1:10" ht="22.5" hidden="1" customHeight="1">
      <c r="A12" s="391"/>
      <c r="B12" s="436"/>
      <c r="C12" s="391"/>
      <c r="D12" s="379" t="s">
        <v>124</v>
      </c>
      <c r="E12" s="378"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 xml:space="preserve">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377" t="s">
        <v>341</v>
      </c>
      <c r="G12" s="408"/>
      <c r="H12" s="409"/>
      <c r="J12" s="389">
        <v>0</v>
      </c>
    </row>
    <row r="13" spans="1:10" ht="23.25" customHeight="1">
      <c r="A13" s="391"/>
      <c r="B13" s="436"/>
      <c r="C13" s="391"/>
      <c r="D13" s="379" t="s">
        <v>124</v>
      </c>
      <c r="E13" s="376" t="str">
        <f>"Наименование юридического лица"&amp;IF(TEMPLATE_SPHERE="TKO"," (индивидуального предпринимателя)","")</f>
        <v>Наименование юридического лица</v>
      </c>
      <c r="F13" s="375"/>
      <c r="G13" s="378"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09"/>
      <c r="J13" s="389">
        <v>22</v>
      </c>
    </row>
    <row r="14" spans="1:10" ht="22.5" hidden="1" customHeight="1">
      <c r="A14" s="391"/>
      <c r="B14" s="436"/>
      <c r="C14" s="391"/>
      <c r="D14" s="930" t="s">
        <v>342</v>
      </c>
      <c r="E14" s="931" t="s">
        <v>343</v>
      </c>
      <c r="F14" s="932" t="str">
        <f>IF(inn="","",inn)</f>
        <v>4101172885</v>
      </c>
      <c r="G14" s="933" t="s">
        <v>344</v>
      </c>
      <c r="H14" s="409"/>
      <c r="J14" s="389">
        <v>0</v>
      </c>
    </row>
    <row r="15" spans="1:10" ht="22.5" hidden="1" customHeight="1">
      <c r="A15" s="391"/>
      <c r="B15" s="436"/>
      <c r="C15" s="391"/>
      <c r="D15" s="930" t="s">
        <v>345</v>
      </c>
      <c r="E15" s="931" t="s">
        <v>346</v>
      </c>
      <c r="F15" s="932" t="str">
        <f>IF(kpp="","",kpp)</f>
        <v>410101001</v>
      </c>
      <c r="G15" s="933" t="s">
        <v>347</v>
      </c>
      <c r="H15" s="409"/>
      <c r="J15" s="389">
        <v>0</v>
      </c>
    </row>
    <row r="16" spans="1:10" ht="39" customHeight="1">
      <c r="A16" s="391"/>
      <c r="B16" s="436"/>
      <c r="C16" s="391"/>
      <c r="D16" s="379" t="s">
        <v>104</v>
      </c>
      <c r="E16" s="376"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375"/>
      <c r="G16" s="378"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09"/>
      <c r="J16" s="389">
        <v>37</v>
      </c>
    </row>
    <row r="17" spans="1:10" ht="23.25" customHeight="1">
      <c r="A17" s="391"/>
      <c r="B17" s="436"/>
      <c r="C17" s="391"/>
      <c r="D17" s="379" t="s">
        <v>91</v>
      </c>
      <c r="E17" s="376" t="str">
        <f>"Дата присвоения ОГРН"&amp;IF(TEMPLATE_SPHERE="TKO",""," (ОГРНИП)")</f>
        <v>Дата присвоения ОГРН (ОГРНИП)</v>
      </c>
      <c r="F17" s="1648" t="s">
        <v>28</v>
      </c>
      <c r="G17" s="378" t="str">
        <f>"Дата присвоения ОГРН"&amp;IF(TEMPLATE_SPHERE="TKO",""," (ОГРНИП)")&amp;" указывается в виде «ДД.ММ.ГГГГ»."</f>
        <v>Дата присвоения ОГРН (ОГРНИП) указывается в виде «ДД.ММ.ГГГГ».</v>
      </c>
      <c r="H17" s="409"/>
      <c r="J17" s="389">
        <v>22</v>
      </c>
    </row>
    <row r="18" spans="1:10" ht="71.25" customHeight="1">
      <c r="A18" s="391"/>
      <c r="B18" s="436"/>
      <c r="C18" s="391"/>
      <c r="D18" s="379" t="s">
        <v>92</v>
      </c>
      <c r="E18" s="376"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375"/>
      <c r="G18" s="408"/>
      <c r="H18" s="409"/>
      <c r="J18" s="389">
        <v>68</v>
      </c>
    </row>
    <row r="19" spans="1:10" ht="22.5" hidden="1" customHeight="1">
      <c r="A19" s="3152" t="s">
        <v>348</v>
      </c>
      <c r="B19" s="436"/>
      <c r="C19" s="3163"/>
      <c r="D19" s="379" t="str">
        <f>A19</f>
        <v>5.1</v>
      </c>
      <c r="E19" s="376" t="s">
        <v>349</v>
      </c>
      <c r="F19" s="377" t="s">
        <v>341</v>
      </c>
      <c r="G19" s="378" t="s">
        <v>350</v>
      </c>
      <c r="H19" s="409"/>
      <c r="I19" s="776"/>
      <c r="J19" s="389">
        <v>0</v>
      </c>
    </row>
    <row r="20" spans="1:10" ht="24" hidden="1" customHeight="1">
      <c r="A20" s="3152"/>
      <c r="B20" s="436"/>
      <c r="C20" s="3163"/>
      <c r="D20" s="374" t="str">
        <f>D19&amp;".1"</f>
        <v>5.1.1</v>
      </c>
      <c r="E20" s="373" t="s">
        <v>351</v>
      </c>
      <c r="F20" s="804" t="s">
        <v>28</v>
      </c>
      <c r="G20" s="408"/>
      <c r="H20" s="409"/>
      <c r="I20" s="776"/>
      <c r="J20" s="389">
        <v>0</v>
      </c>
    </row>
    <row r="21" spans="1:10" ht="22.5" hidden="1" customHeight="1">
      <c r="A21" s="3152"/>
      <c r="B21" s="436"/>
      <c r="C21" s="3163"/>
      <c r="D21" s="374" t="str">
        <f>D19&amp;".2"</f>
        <v>5.1.2</v>
      </c>
      <c r="E21" s="373" t="s">
        <v>352</v>
      </c>
      <c r="F21" s="1649" t="s">
        <v>28</v>
      </c>
      <c r="G21" s="378" t="s">
        <v>353</v>
      </c>
      <c r="H21" s="409"/>
      <c r="I21" s="776"/>
      <c r="J21" s="389">
        <v>0</v>
      </c>
    </row>
    <row r="22" spans="1:10" ht="22.5" hidden="1" customHeight="1">
      <c r="A22" s="3152"/>
      <c r="B22" s="436"/>
      <c r="C22" s="3163"/>
      <c r="D22" s="374" t="str">
        <f>D19&amp;".3"</f>
        <v>5.1.3</v>
      </c>
      <c r="E22" s="373" t="s">
        <v>354</v>
      </c>
      <c r="F22" s="804" t="s">
        <v>28</v>
      </c>
      <c r="G22" s="408"/>
      <c r="H22" s="409"/>
      <c r="I22" s="776"/>
      <c r="J22" s="389">
        <v>0</v>
      </c>
    </row>
    <row r="23" spans="1:10" ht="22.5" hidden="1" customHeight="1">
      <c r="A23" s="3152"/>
      <c r="B23" s="436"/>
      <c r="C23" s="3163"/>
      <c r="D23" s="374" t="str">
        <f>D19&amp;".4"</f>
        <v>5.1.4</v>
      </c>
      <c r="E23" s="373" t="s">
        <v>355</v>
      </c>
      <c r="F23" s="804" t="s">
        <v>28</v>
      </c>
      <c r="G23" s="378" t="s">
        <v>356</v>
      </c>
      <c r="H23" s="409"/>
      <c r="I23" s="776"/>
      <c r="J23" s="389">
        <v>0</v>
      </c>
    </row>
    <row r="24" spans="1:10" ht="22.5" hidden="1" customHeight="1">
      <c r="A24" s="1889"/>
      <c r="B24" s="436"/>
      <c r="C24" s="426"/>
      <c r="D24" s="401"/>
      <c r="E24" s="1085" t="s">
        <v>357</v>
      </c>
      <c r="F24" s="402"/>
      <c r="G24" s="403"/>
      <c r="H24" s="409"/>
      <c r="I24" s="776"/>
      <c r="J24" s="389">
        <v>0</v>
      </c>
    </row>
    <row r="25" spans="1:10" s="2207" customFormat="1" ht="24.75" hidden="1" customHeight="1">
      <c r="A25" s="391"/>
      <c r="B25" s="436"/>
      <c r="C25" s="436"/>
      <c r="D25" s="927" t="s">
        <v>91</v>
      </c>
      <c r="E25" s="929" t="s">
        <v>358</v>
      </c>
      <c r="F25" s="934" t="s">
        <v>341</v>
      </c>
      <c r="G25" s="929"/>
      <c r="J25" s="435">
        <v>0</v>
      </c>
    </row>
    <row r="26" spans="1:10" s="2207" customFormat="1" ht="11.25" hidden="1" customHeight="1">
      <c r="A26" s="391"/>
      <c r="B26" s="436"/>
      <c r="C26" s="436"/>
      <c r="D26" s="927" t="s">
        <v>359</v>
      </c>
      <c r="E26" s="928" t="s">
        <v>360</v>
      </c>
      <c r="F26" s="934" t="s">
        <v>341</v>
      </c>
      <c r="G26" s="929"/>
      <c r="J26" s="435">
        <v>0</v>
      </c>
    </row>
    <row r="27" spans="1:10" s="2207" customFormat="1" ht="11.25" hidden="1" customHeight="1">
      <c r="A27" s="391"/>
      <c r="B27" s="436"/>
      <c r="C27" s="436"/>
      <c r="D27" s="927" t="s">
        <v>361</v>
      </c>
      <c r="E27" s="935" t="s">
        <v>362</v>
      </c>
      <c r="F27" s="936"/>
      <c r="G27" s="929"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435">
        <v>0</v>
      </c>
    </row>
    <row r="28" spans="1:10" s="2207" customFormat="1" ht="11.25" hidden="1" customHeight="1">
      <c r="A28" s="391"/>
      <c r="B28" s="436"/>
      <c r="C28" s="436"/>
      <c r="D28" s="927" t="s">
        <v>363</v>
      </c>
      <c r="E28" s="935" t="s">
        <v>364</v>
      </c>
      <c r="F28" s="936"/>
      <c r="G28" s="929"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435">
        <v>0</v>
      </c>
    </row>
    <row r="29" spans="1:10" s="2207" customFormat="1" ht="11.25" hidden="1" customHeight="1">
      <c r="A29" s="391"/>
      <c r="B29" s="436"/>
      <c r="C29" s="436"/>
      <c r="D29" s="927" t="s">
        <v>365</v>
      </c>
      <c r="E29" s="935" t="s">
        <v>366</v>
      </c>
      <c r="F29" s="936"/>
      <c r="G29" s="929"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435">
        <v>0</v>
      </c>
    </row>
    <row r="30" spans="1:10" s="2207" customFormat="1" ht="11.25" hidden="1" customHeight="1">
      <c r="A30" s="391"/>
      <c r="B30" s="436"/>
      <c r="C30" s="436"/>
      <c r="D30" s="927" t="s">
        <v>367</v>
      </c>
      <c r="E30" s="928" t="s">
        <v>368</v>
      </c>
      <c r="F30" s="936"/>
      <c r="G30" s="929"/>
      <c r="J30" s="435">
        <v>0</v>
      </c>
    </row>
    <row r="31" spans="1:10" s="2207" customFormat="1" ht="11.25" hidden="1" customHeight="1">
      <c r="A31" s="391"/>
      <c r="B31" s="436"/>
      <c r="C31" s="436"/>
      <c r="D31" s="927" t="s">
        <v>369</v>
      </c>
      <c r="E31" s="928" t="s">
        <v>370</v>
      </c>
      <c r="F31" s="936"/>
      <c r="G31" s="929"/>
      <c r="J31" s="435">
        <v>0</v>
      </c>
    </row>
    <row r="32" spans="1:10" s="2207" customFormat="1" ht="11.25" hidden="1" customHeight="1">
      <c r="A32" s="391"/>
      <c r="B32" s="436"/>
      <c r="C32" s="436"/>
      <c r="D32" s="927" t="s">
        <v>371</v>
      </c>
      <c r="E32" s="928" t="s">
        <v>372</v>
      </c>
      <c r="F32" s="937"/>
      <c r="G32" s="929"/>
      <c r="J32" s="435">
        <v>0</v>
      </c>
    </row>
    <row r="33" spans="1:10" ht="24" customHeight="1">
      <c r="A33" s="391" t="str">
        <f>IF(TEMPLATE_SPHERE="HEAT","6","5")</f>
        <v>6</v>
      </c>
      <c r="B33" s="436"/>
      <c r="C33" s="391"/>
      <c r="D33" s="374" t="str">
        <f>A33</f>
        <v>6</v>
      </c>
      <c r="E33" s="372"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377" t="s">
        <v>341</v>
      </c>
      <c r="G33" s="408"/>
      <c r="H33" s="409"/>
      <c r="J33" s="389">
        <v>23</v>
      </c>
    </row>
    <row r="34" spans="1:10" ht="23.25" customHeight="1">
      <c r="A34" s="391"/>
      <c r="B34" s="436"/>
      <c r="C34" s="391"/>
      <c r="D34" s="374" t="str">
        <f>D33&amp;".1"</f>
        <v>6.1</v>
      </c>
      <c r="E34" s="376" t="str">
        <f>"фамилия"&amp;IF(TEMPLATE_SPHERE&lt;&gt;"HEAT"," руководителя","")</f>
        <v>фамилия</v>
      </c>
      <c r="F34" s="375"/>
      <c r="G34" s="378"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09"/>
      <c r="J34" s="389">
        <v>22</v>
      </c>
    </row>
    <row r="35" spans="1:10" ht="23.25" customHeight="1">
      <c r="A35" s="391"/>
      <c r="B35" s="436"/>
      <c r="C35" s="391"/>
      <c r="D35" s="374" t="str">
        <f>D33&amp;".2"</f>
        <v>6.2</v>
      </c>
      <c r="E35" s="376" t="str">
        <f>"имя"&amp;IF(TEMPLATE_SPHERE&lt;&gt;"HEAT"," руководителя","")</f>
        <v>имя</v>
      </c>
      <c r="F35" s="375"/>
      <c r="G35" s="378"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09"/>
      <c r="J35" s="389">
        <v>22</v>
      </c>
    </row>
    <row r="36" spans="1:10" ht="24" customHeight="1">
      <c r="A36" s="391"/>
      <c r="B36" s="436"/>
      <c r="C36" s="391"/>
      <c r="D36" s="374" t="str">
        <f>D33&amp;".3"</f>
        <v>6.3</v>
      </c>
      <c r="E36" s="376" t="str">
        <f>"отчество"&amp;IF(TEMPLATE_SPHERE&lt;&gt;"HEAT"," руководителя","")</f>
        <v>отчество</v>
      </c>
      <c r="F36" s="632"/>
      <c r="G36" s="378"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09"/>
      <c r="J36" s="389">
        <v>23</v>
      </c>
    </row>
    <row r="37" spans="1:10" ht="35.65" customHeight="1">
      <c r="A37" s="391"/>
      <c r="B37" s="436"/>
      <c r="C37" s="391"/>
      <c r="D37" s="374">
        <f>D33+1</f>
        <v>7</v>
      </c>
      <c r="E37" s="372"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375"/>
      <c r="G37" s="378" t="s">
        <v>373</v>
      </c>
      <c r="H37" s="409"/>
      <c r="J37" s="389">
        <v>34</v>
      </c>
    </row>
    <row r="38" spans="1:10" ht="35.65" customHeight="1">
      <c r="A38" s="391"/>
      <c r="B38" s="436"/>
      <c r="C38" s="391"/>
      <c r="D38" s="374">
        <f>D37+1</f>
        <v>8</v>
      </c>
      <c r="E38" s="372"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375"/>
      <c r="G38" s="378" t="s">
        <v>373</v>
      </c>
      <c r="H38" s="409"/>
      <c r="J38" s="389">
        <v>34</v>
      </c>
    </row>
    <row r="39" spans="1:10" ht="23.25" customHeight="1">
      <c r="A39" s="391"/>
      <c r="B39" s="436"/>
      <c r="C39" s="391"/>
      <c r="D39" s="374">
        <f>D38+1</f>
        <v>9</v>
      </c>
      <c r="E39" s="371"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377" t="s">
        <v>341</v>
      </c>
      <c r="G39" s="3160"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09"/>
      <c r="J39" s="389">
        <v>22</v>
      </c>
    </row>
    <row r="40" spans="1:10" ht="22.5" hidden="1" customHeight="1">
      <c r="A40" s="391"/>
      <c r="B40" s="436"/>
      <c r="C40" s="391"/>
      <c r="D40" s="374" t="str">
        <f>D39&amp;".0"</f>
        <v>9.0</v>
      </c>
      <c r="E40" s="1522"/>
      <c r="F40" s="804"/>
      <c r="G40" s="3161"/>
      <c r="H40" s="409"/>
      <c r="J40" s="389">
        <v>0</v>
      </c>
    </row>
    <row r="41" spans="1:10" ht="23.25" customHeight="1">
      <c r="A41" s="391"/>
      <c r="B41" s="391"/>
      <c r="C41" s="1605"/>
      <c r="D41" s="374" t="str">
        <f>D39&amp;".1"</f>
        <v>9.1</v>
      </c>
      <c r="E41" s="784"/>
      <c r="F41" s="785"/>
      <c r="G41" s="3161"/>
      <c r="H41" s="409"/>
      <c r="J41" s="389">
        <v>22</v>
      </c>
    </row>
    <row r="42" spans="1:10" ht="15.75" customHeight="1">
      <c r="A42" s="391"/>
      <c r="B42" s="436"/>
      <c r="C42" s="391"/>
      <c r="D42" s="401"/>
      <c r="E42" s="349" t="s">
        <v>374</v>
      </c>
      <c r="F42" s="403"/>
      <c r="G42" s="3162"/>
      <c r="H42" s="410"/>
      <c r="J42" s="389">
        <v>15</v>
      </c>
    </row>
    <row r="43" spans="1:10" ht="27.25" customHeight="1">
      <c r="A43" s="391"/>
      <c r="B43" s="436"/>
      <c r="C43" s="391"/>
      <c r="D43" s="374">
        <f>D39+1</f>
        <v>10</v>
      </c>
      <c r="E43" s="372"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786"/>
      <c r="G43" s="378"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09"/>
      <c r="J43" s="389">
        <v>26</v>
      </c>
    </row>
    <row r="44" spans="1:10" ht="23.25" customHeight="1">
      <c r="A44" s="391"/>
      <c r="B44" s="436"/>
      <c r="C44" s="391"/>
      <c r="D44" s="374">
        <f>D43+1</f>
        <v>11</v>
      </c>
      <c r="E44" s="372"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12"/>
      <c r="G44" s="408" t="s">
        <v>375</v>
      </c>
      <c r="H44" s="409"/>
      <c r="J44" s="389">
        <v>22</v>
      </c>
    </row>
    <row r="45" spans="1:10" ht="23.25" customHeight="1">
      <c r="A45" s="391"/>
      <c r="B45" s="436"/>
      <c r="C45" s="391"/>
      <c r="D45" s="374">
        <f>D44+1</f>
        <v>12</v>
      </c>
      <c r="E45" s="372" t="s">
        <v>376</v>
      </c>
      <c r="F45" s="377" t="s">
        <v>341</v>
      </c>
      <c r="G45" s="371" t="str">
        <f>IF(TEMPLATE_SPHERE="TKO","Указывается режим работы организации.","")</f>
        <v/>
      </c>
      <c r="H45" s="409"/>
      <c r="J45" s="389">
        <v>22</v>
      </c>
    </row>
    <row r="46" spans="1:10" ht="24" customHeight="1">
      <c r="A46" s="391"/>
      <c r="B46" s="436"/>
      <c r="C46" s="391"/>
      <c r="D46" s="374" t="str">
        <f>D45&amp;".1"</f>
        <v>12.1</v>
      </c>
      <c r="E46" s="376" t="str">
        <f>"режим работы регулируемой организации"&amp;IF(TEMPLATE_SPHERE="HEAT",", ЕТО, ТО","")</f>
        <v>режим работы регулируемой организации, ЕТО, ТО</v>
      </c>
      <c r="F46" s="1601"/>
      <c r="G46" s="371" t="s">
        <v>377</v>
      </c>
      <c r="H46" s="409"/>
      <c r="J46" s="389">
        <v>23</v>
      </c>
    </row>
    <row r="47" spans="1:10" ht="24" customHeight="1">
      <c r="A47" s="3152"/>
      <c r="B47" s="436"/>
      <c r="C47" s="426"/>
      <c r="D47" s="374" t="str">
        <f>D45&amp;".2"</f>
        <v>12.2</v>
      </c>
      <c r="E47" s="376" t="s">
        <v>378</v>
      </c>
      <c r="F47" s="424"/>
      <c r="G47" s="371" t="s">
        <v>379</v>
      </c>
      <c r="H47" s="409"/>
      <c r="J47" s="389">
        <v>23</v>
      </c>
    </row>
    <row r="48" spans="1:10" ht="24" customHeight="1">
      <c r="A48" s="3152"/>
      <c r="B48" s="436"/>
      <c r="C48" s="426"/>
      <c r="D48" s="374" t="str">
        <f>D45&amp;".3"</f>
        <v>12.3</v>
      </c>
      <c r="E48" s="376" t="s">
        <v>380</v>
      </c>
      <c r="F48" s="424"/>
      <c r="G48" s="371" t="s">
        <v>381</v>
      </c>
      <c r="H48" s="409"/>
      <c r="J48" s="389">
        <v>23</v>
      </c>
    </row>
    <row r="49" spans="1:10" ht="24" customHeight="1">
      <c r="A49" s="3152"/>
      <c r="B49" s="436"/>
      <c r="C49" s="426"/>
      <c r="D49" s="374" t="str">
        <f>IF(TEMPLATE_SPHERE="TKO",D45&amp;".0",D45&amp;".4")</f>
        <v>12.4</v>
      </c>
      <c r="E49" s="370" t="s">
        <v>382</v>
      </c>
      <c r="F49" s="1602"/>
      <c r="G49" s="1678" t="s">
        <v>383</v>
      </c>
      <c r="H49" s="409"/>
      <c r="J49" s="389">
        <v>23</v>
      </c>
    </row>
    <row r="50" spans="1:10" ht="24" customHeight="1">
      <c r="A50" s="391"/>
      <c r="B50" s="436"/>
      <c r="C50" s="391"/>
      <c r="D50" s="401"/>
      <c r="E50" s="349" t="s">
        <v>384</v>
      </c>
      <c r="F50" s="402"/>
      <c r="G50" s="1678" t="s">
        <v>385</v>
      </c>
      <c r="H50" s="410"/>
      <c r="J50" s="389">
        <v>23</v>
      </c>
    </row>
    <row r="51" spans="1:10" ht="24" customHeight="1">
      <c r="A51" s="782"/>
      <c r="B51" s="436"/>
      <c r="C51" s="426"/>
      <c r="D51" s="374">
        <f>D45+1</f>
        <v>13</v>
      </c>
      <c r="E51" s="462" t="s">
        <v>386</v>
      </c>
      <c r="F51" s="424"/>
      <c r="G51" s="1606"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09"/>
      <c r="J51" s="389">
        <v>23</v>
      </c>
    </row>
    <row r="52" spans="1:10" ht="11.5" customHeight="1">
      <c r="A52" s="391"/>
      <c r="B52" s="436"/>
      <c r="C52" s="391"/>
      <c r="J52" s="389">
        <v>11</v>
      </c>
    </row>
    <row r="53" spans="1:10" s="2208" customFormat="1" ht="31.5" customHeight="1">
      <c r="A53" s="1604"/>
      <c r="B53" s="437"/>
      <c r="C53" s="3153"/>
      <c r="D53" s="3156"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3156"/>
      <c r="F53" s="3156"/>
      <c r="G53" s="3156"/>
      <c r="H53" s="388"/>
      <c r="I53" s="388"/>
      <c r="J53" s="394">
        <v>30</v>
      </c>
    </row>
    <row r="54" spans="1:10" s="2208" customFormat="1" ht="42" customHeight="1">
      <c r="A54" s="391"/>
      <c r="B54" s="436"/>
      <c r="C54" s="3153"/>
      <c r="D54" s="3156"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3156"/>
      <c r="F54" s="3156"/>
      <c r="G54" s="3156"/>
      <c r="J54" s="394">
        <v>40</v>
      </c>
    </row>
    <row r="55" spans="1:10" ht="11.5" customHeight="1">
      <c r="D55" s="392"/>
      <c r="E55" s="393"/>
      <c r="F55" s="393"/>
      <c r="G55" s="393"/>
      <c r="J55" s="389">
        <v>11</v>
      </c>
    </row>
    <row r="56" spans="1:10" ht="28.5" customHeight="1">
      <c r="D56" s="395"/>
      <c r="E56" s="392"/>
      <c r="F56" s="404"/>
      <c r="G56" s="404"/>
      <c r="J56" s="389">
        <v>27</v>
      </c>
    </row>
    <row r="57" spans="1:10" ht="11.5" customHeight="1">
      <c r="D57" s="392"/>
      <c r="E57" s="392"/>
      <c r="F57" s="393"/>
      <c r="G57" s="393"/>
      <c r="J57" s="389">
        <v>11</v>
      </c>
    </row>
    <row r="58" spans="1:10" ht="40.9" customHeight="1">
      <c r="D58" s="396"/>
      <c r="E58" s="405"/>
      <c r="F58" s="405"/>
      <c r="G58" s="405"/>
      <c r="J58" s="389">
        <v>39</v>
      </c>
    </row>
    <row r="59" spans="1:10" ht="28.5" customHeight="1">
      <c r="D59" s="396"/>
      <c r="E59" s="405"/>
      <c r="F59" s="405"/>
      <c r="G59" s="405"/>
      <c r="J59" s="389">
        <v>27</v>
      </c>
    </row>
    <row r="60" spans="1:10" ht="11.25" hidden="1" customHeight="1">
      <c r="A60" s="1603" t="s">
        <v>83</v>
      </c>
      <c r="B60" s="435">
        <v>0</v>
      </c>
      <c r="C60" s="389">
        <v>3</v>
      </c>
      <c r="D60" s="390">
        <v>6</v>
      </c>
      <c r="E60" s="389">
        <v>52</v>
      </c>
      <c r="F60" s="389">
        <v>48</v>
      </c>
      <c r="G60" s="389">
        <v>121</v>
      </c>
      <c r="H60" s="389">
        <v>8</v>
      </c>
      <c r="I60" s="389">
        <v>64</v>
      </c>
      <c r="J60" s="389">
        <v>11</v>
      </c>
    </row>
  </sheetData>
  <sheetProtection formatColumns="0" formatRows="0" insertRows="0" deleteColumns="0" deleteRows="0" sort="0" autoFilter="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xr:uid="{00000000-0002-0000-0600-000000000000}">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xr:uid="{00000000-0002-0000-0600-000001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xr:uid="{00000000-0002-0000-0600-000002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56FF0A-E01F-5C99-2D06-36F92F103E43}">
  <sheetPr>
    <tabColor theme="3" tint="0.59999389629810485"/>
  </sheetPr>
  <dimension ref="A1:AT18"/>
  <sheetViews>
    <sheetView showGridLines="0" topLeftCell="C3" zoomScale="90" workbookViewId="0"/>
  </sheetViews>
  <sheetFormatPr defaultColWidth="10.59765625" defaultRowHeight="14.25" customHeight="1"/>
  <cols>
    <col min="1" max="1" width="9.09765625" style="2002" hidden="1" customWidth="1"/>
    <col min="2" max="2" width="9.09765625" style="2004" hidden="1" customWidth="1"/>
    <col min="3" max="3" width="3" style="2026" customWidth="1"/>
    <col min="4" max="4" width="5" style="2004" customWidth="1"/>
    <col min="5" max="5" width="48" style="2004" customWidth="1"/>
    <col min="6" max="6" width="38" style="2004" customWidth="1"/>
    <col min="7" max="7" width="1.69921875" style="2004" hidden="1" customWidth="1"/>
    <col min="8" max="11" width="19.796875" style="2004" customWidth="1"/>
    <col min="12" max="12" width="9.69921875" style="2004" customWidth="1"/>
    <col min="13" max="18" width="19.796875" style="2004" customWidth="1"/>
    <col min="19" max="19" width="1.69921875" style="2004" hidden="1" customWidth="1"/>
    <col min="20" max="22" width="19.796875" style="2004" hidden="1" customWidth="1"/>
    <col min="23" max="23" width="1.69921875" style="2004" hidden="1" customWidth="1"/>
    <col min="24" max="26" width="19.796875" style="2004" hidden="1" customWidth="1"/>
    <col min="27" max="27" width="1.69921875" style="2004" hidden="1" customWidth="1"/>
    <col min="28" max="29" width="19.796875" style="2004" hidden="1" customWidth="1"/>
    <col min="30" max="30" width="1.69921875" style="2004" hidden="1" customWidth="1"/>
    <col min="31" max="31" width="103.69921875" style="2004" customWidth="1"/>
    <col min="32" max="34" width="103.69921875" style="2004" hidden="1" customWidth="1"/>
    <col min="35" max="35" width="3" style="2019" customWidth="1"/>
    <col min="36" max="38" width="10" style="2017" customWidth="1"/>
    <col min="39" max="39" width="13.69921875" style="2017" hidden="1" customWidth="1"/>
    <col min="40" max="40" width="15" style="2017" customWidth="1"/>
    <col min="41" max="41" width="16" style="2017" customWidth="1"/>
    <col min="42" max="45" width="10" style="2017" customWidth="1"/>
    <col min="46" max="46" width="10.59765625" style="2004" hidden="1"/>
  </cols>
  <sheetData>
    <row r="1" spans="1:46" ht="22.5" hidden="1" customHeight="1">
      <c r="E1" s="346"/>
      <c r="F1" s="346"/>
      <c r="G1" s="346"/>
      <c r="H1" s="3041" t="s">
        <v>387</v>
      </c>
      <c r="I1" s="3041"/>
      <c r="J1" s="3041"/>
      <c r="K1" s="3041"/>
      <c r="L1" s="3041"/>
      <c r="M1" s="3041"/>
      <c r="N1" s="3041"/>
      <c r="O1" s="3041"/>
      <c r="P1" s="3041"/>
      <c r="Q1" s="3041"/>
      <c r="R1" s="3041"/>
      <c r="T1" s="3041" t="s">
        <v>388</v>
      </c>
      <c r="U1" s="3041"/>
      <c r="V1" s="3041"/>
      <c r="X1" s="3041" t="s">
        <v>389</v>
      </c>
      <c r="Y1" s="3041"/>
      <c r="Z1" s="3041"/>
      <c r="AB1" s="3041" t="s">
        <v>390</v>
      </c>
      <c r="AC1" s="3041"/>
      <c r="AT1" s="381" t="s">
        <v>14</v>
      </c>
    </row>
    <row r="2" spans="1:46" ht="14.25" hidden="1" customHeight="1">
      <c r="AT2" s="381">
        <v>0</v>
      </c>
    </row>
    <row r="3" spans="1:46" s="2211" customFormat="1" ht="5.25" customHeight="1">
      <c r="C3" s="635"/>
      <c r="D3" s="636"/>
      <c r="E3" s="636"/>
      <c r="F3" s="636"/>
      <c r="G3" s="636"/>
      <c r="H3" s="636" t="s">
        <v>391</v>
      </c>
      <c r="I3" s="636"/>
      <c r="J3" s="636"/>
      <c r="K3" s="636"/>
      <c r="L3" s="636"/>
      <c r="M3" s="636"/>
      <c r="N3" s="636"/>
      <c r="O3" s="636"/>
      <c r="P3" s="636"/>
      <c r="Q3" s="636"/>
      <c r="R3" s="636"/>
      <c r="S3" s="636"/>
      <c r="T3" s="636"/>
      <c r="U3" s="636"/>
      <c r="V3" s="636"/>
      <c r="W3" s="636"/>
      <c r="X3" s="636"/>
      <c r="Y3" s="636"/>
      <c r="Z3" s="636"/>
      <c r="AA3" s="636"/>
      <c r="AB3" s="636"/>
      <c r="AC3" s="636"/>
      <c r="AD3" s="636"/>
      <c r="AE3" s="636"/>
      <c r="AF3" s="636"/>
      <c r="AG3" s="636"/>
      <c r="AH3" s="636"/>
      <c r="AJ3" s="445"/>
      <c r="AK3" s="445"/>
      <c r="AL3" s="445"/>
      <c r="AM3" s="445"/>
      <c r="AN3" s="445"/>
      <c r="AO3" s="445"/>
      <c r="AP3" s="445"/>
      <c r="AQ3" s="445"/>
      <c r="AR3" s="445"/>
      <c r="AS3" s="445"/>
      <c r="AT3" s="634">
        <v>5</v>
      </c>
    </row>
    <row r="4" spans="1:46" ht="39.75" customHeight="1">
      <c r="C4" s="384"/>
      <c r="D4" s="3111"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3112"/>
      <c r="F4" s="3112"/>
      <c r="G4" s="3112"/>
      <c r="H4" s="3112"/>
      <c r="I4" s="3112"/>
      <c r="J4" s="3112"/>
      <c r="K4" s="3112"/>
      <c r="L4" s="3112"/>
      <c r="M4" s="3112"/>
      <c r="N4" s="3112"/>
      <c r="O4" s="3112"/>
      <c r="P4" s="3112"/>
      <c r="Q4" s="3112"/>
      <c r="R4" s="3113"/>
      <c r="S4" s="777"/>
      <c r="T4" s="633"/>
      <c r="U4" s="633"/>
      <c r="V4" s="633"/>
      <c r="W4" s="633"/>
      <c r="X4" s="633"/>
      <c r="Y4" s="633"/>
      <c r="Z4" s="633"/>
      <c r="AA4" s="633"/>
      <c r="AB4" s="633"/>
      <c r="AC4" s="633"/>
      <c r="AD4" s="633"/>
      <c r="AE4" s="425"/>
      <c r="AF4" s="425"/>
      <c r="AG4" s="425"/>
      <c r="AH4" s="425"/>
      <c r="AI4" s="422"/>
      <c r="AT4" s="381">
        <v>38</v>
      </c>
    </row>
    <row r="5" spans="1:46" s="2004" customFormat="1" ht="18" customHeight="1">
      <c r="A5" s="691"/>
      <c r="C5" s="750"/>
      <c r="D5" s="3164" t="str">
        <f>IF(org=0,"Не определено",org)</f>
        <v>ООО "РСО"</v>
      </c>
      <c r="E5" s="3165"/>
      <c r="F5" s="3165"/>
      <c r="G5" s="3165"/>
      <c r="H5" s="3165"/>
      <c r="I5" s="3165"/>
      <c r="J5" s="3165"/>
      <c r="K5" s="3165"/>
      <c r="L5" s="3165"/>
      <c r="M5" s="3165"/>
      <c r="N5" s="3165"/>
      <c r="O5" s="3165"/>
      <c r="P5" s="3165"/>
      <c r="Q5" s="3165"/>
      <c r="R5" s="3166"/>
      <c r="S5" s="777"/>
      <c r="T5" s="633"/>
      <c r="U5" s="633"/>
      <c r="V5" s="633"/>
      <c r="W5" s="633"/>
      <c r="X5" s="633"/>
      <c r="Y5" s="633"/>
      <c r="Z5" s="633"/>
      <c r="AA5" s="633"/>
      <c r="AB5" s="633"/>
      <c r="AC5" s="633"/>
      <c r="AD5" s="633"/>
      <c r="AE5" s="425"/>
      <c r="AF5" s="425"/>
      <c r="AG5" s="425"/>
      <c r="AH5" s="425"/>
      <c r="AI5" s="422"/>
      <c r="AJ5" s="445"/>
      <c r="AK5" s="445"/>
      <c r="AL5" s="445"/>
      <c r="AM5" s="445"/>
      <c r="AN5" s="445"/>
      <c r="AO5" s="445"/>
      <c r="AP5" s="445"/>
      <c r="AQ5" s="445"/>
      <c r="AR5" s="445"/>
      <c r="AS5" s="445"/>
      <c r="AT5" s="690">
        <v>17</v>
      </c>
    </row>
    <row r="6" spans="1:46" s="2003" customFormat="1" ht="11.5" customHeight="1">
      <c r="A6" s="413"/>
      <c r="C6" s="420"/>
      <c r="D6" s="419"/>
      <c r="E6" s="419"/>
      <c r="F6" s="419"/>
      <c r="G6" s="419"/>
      <c r="H6" s="419"/>
      <c r="I6" s="419"/>
      <c r="J6" s="419"/>
      <c r="K6" s="419"/>
      <c r="L6" s="419"/>
      <c r="M6" s="419"/>
      <c r="N6" s="419"/>
      <c r="O6" s="419"/>
      <c r="P6" s="419"/>
      <c r="Q6" s="419"/>
      <c r="R6" s="686"/>
      <c r="S6" s="686"/>
      <c r="T6" s="419"/>
      <c r="U6" s="419"/>
      <c r="V6" s="646"/>
      <c r="W6" s="646"/>
      <c r="X6" s="419"/>
      <c r="Y6" s="419"/>
      <c r="Z6" s="646"/>
      <c r="AA6" s="646"/>
      <c r="AB6" s="419"/>
      <c r="AC6" s="646"/>
      <c r="AD6" s="646"/>
      <c r="AE6" s="419"/>
      <c r="AF6" s="419"/>
      <c r="AG6" s="419"/>
      <c r="AH6" s="419"/>
      <c r="AJ6" s="423"/>
      <c r="AK6" s="423"/>
      <c r="AL6" s="423"/>
      <c r="AM6" s="423"/>
      <c r="AN6" s="423"/>
      <c r="AO6" s="423"/>
      <c r="AP6" s="423"/>
      <c r="AQ6" s="423"/>
      <c r="AR6" s="423"/>
      <c r="AS6" s="423"/>
      <c r="AT6" s="414">
        <v>11</v>
      </c>
    </row>
    <row r="7" spans="1:46" ht="14.65" customHeight="1">
      <c r="C7" s="384"/>
      <c r="D7" s="3167" t="s">
        <v>335</v>
      </c>
      <c r="E7" s="3168"/>
      <c r="F7" s="3168"/>
      <c r="G7" s="3168"/>
      <c r="H7" s="3168"/>
      <c r="I7" s="3168"/>
      <c r="J7" s="3168"/>
      <c r="K7" s="3168"/>
      <c r="L7" s="3168"/>
      <c r="M7" s="3168"/>
      <c r="N7" s="3168"/>
      <c r="O7" s="3168"/>
      <c r="P7" s="3168"/>
      <c r="Q7" s="3168"/>
      <c r="R7" s="3168"/>
      <c r="S7" s="3168"/>
      <c r="T7" s="3168"/>
      <c r="U7" s="3168"/>
      <c r="V7" s="3168"/>
      <c r="W7" s="3168"/>
      <c r="X7" s="3168"/>
      <c r="Y7" s="3168"/>
      <c r="Z7" s="3168"/>
      <c r="AA7" s="3168"/>
      <c r="AB7" s="3168"/>
      <c r="AC7" s="3168"/>
      <c r="AD7" s="3169"/>
      <c r="AE7" s="3106" t="s">
        <v>336</v>
      </c>
      <c r="AF7" s="3106" t="s">
        <v>336</v>
      </c>
      <c r="AG7" s="3106" t="s">
        <v>336</v>
      </c>
      <c r="AH7" s="3106" t="s">
        <v>336</v>
      </c>
      <c r="AT7" s="381">
        <v>14</v>
      </c>
    </row>
    <row r="8" spans="1:46" ht="27.25" customHeight="1">
      <c r="C8" s="384"/>
      <c r="D8" s="3067" t="s">
        <v>89</v>
      </c>
      <c r="E8" s="3106" t="str">
        <f>"Наименование "&amp;IF(TEMPLATE_SPHERE&lt;&gt;"HEAT","централизованной ","")&amp;"системы "&amp;TEMPLATE_SPHERE_RUS</f>
        <v>Наименование системы теплоснабжения</v>
      </c>
      <c r="F8" s="3106" t="str">
        <f>IF(TEMPLATE_SPHERE&lt;&gt;"HEAT","Регулируемый вид деятельности","Вид регулируемой деятельности")</f>
        <v>Вид регулируемой деятельности</v>
      </c>
      <c r="G8" s="756"/>
      <c r="H8" s="3172" t="s">
        <v>392</v>
      </c>
      <c r="I8" s="3174" t="s">
        <v>393</v>
      </c>
      <c r="J8" s="3106" t="s">
        <v>394</v>
      </c>
      <c r="K8" s="3106"/>
      <c r="L8" s="3106"/>
      <c r="M8" s="3167"/>
      <c r="N8" s="3106" t="s">
        <v>395</v>
      </c>
      <c r="O8" s="3106"/>
      <c r="P8" s="3106" t="s">
        <v>396</v>
      </c>
      <c r="Q8" s="3106"/>
      <c r="R8" s="3176" t="s">
        <v>397</v>
      </c>
      <c r="S8" s="752"/>
      <c r="T8" s="3172" t="s">
        <v>398</v>
      </c>
      <c r="U8" s="3172" t="s">
        <v>399</v>
      </c>
      <c r="V8" s="3172" t="s">
        <v>400</v>
      </c>
      <c r="W8" s="754"/>
      <c r="X8" s="3172" t="s">
        <v>401</v>
      </c>
      <c r="Y8" s="3172" t="s">
        <v>402</v>
      </c>
      <c r="Z8" s="3172" t="s">
        <v>403</v>
      </c>
      <c r="AA8" s="754"/>
      <c r="AB8" s="3172" t="s">
        <v>404</v>
      </c>
      <c r="AC8" s="3172" t="s">
        <v>397</v>
      </c>
      <c r="AD8" s="754"/>
      <c r="AE8" s="3106"/>
      <c r="AF8" s="3106"/>
      <c r="AG8" s="3106"/>
      <c r="AH8" s="3106"/>
      <c r="AT8" s="381">
        <v>26</v>
      </c>
    </row>
    <row r="9" spans="1:46" ht="46.15" customHeight="1">
      <c r="C9" s="384"/>
      <c r="D9" s="3067"/>
      <c r="E9" s="3106"/>
      <c r="F9" s="3106"/>
      <c r="G9" s="757"/>
      <c r="H9" s="3173"/>
      <c r="I9" s="3175"/>
      <c r="J9" s="359" t="s">
        <v>405</v>
      </c>
      <c r="K9" s="359" t="s">
        <v>406</v>
      </c>
      <c r="L9" s="359" t="s">
        <v>407</v>
      </c>
      <c r="M9" s="365" t="s">
        <v>408</v>
      </c>
      <c r="N9" s="359" t="s">
        <v>409</v>
      </c>
      <c r="O9" s="359" t="s">
        <v>408</v>
      </c>
      <c r="P9" s="359" t="s">
        <v>410</v>
      </c>
      <c r="Q9" s="359" t="s">
        <v>408</v>
      </c>
      <c r="R9" s="3177"/>
      <c r="S9" s="753"/>
      <c r="T9" s="3173"/>
      <c r="U9" s="3173"/>
      <c r="V9" s="3173"/>
      <c r="W9" s="755"/>
      <c r="X9" s="3173"/>
      <c r="Y9" s="3173"/>
      <c r="Z9" s="3173"/>
      <c r="AA9" s="755"/>
      <c r="AB9" s="3173"/>
      <c r="AC9" s="3173"/>
      <c r="AD9" s="755"/>
      <c r="AE9" s="3106"/>
      <c r="AF9" s="3106"/>
      <c r="AG9" s="3106"/>
      <c r="AH9" s="3106"/>
      <c r="AT9" s="381">
        <v>44</v>
      </c>
    </row>
    <row r="10" spans="1:46" ht="12" hidden="1" customHeight="1">
      <c r="C10" s="421"/>
      <c r="D10" s="382"/>
      <c r="E10" s="382"/>
      <c r="F10" s="382"/>
      <c r="G10" s="382"/>
      <c r="H10" s="382"/>
      <c r="I10" s="382"/>
      <c r="J10" s="382"/>
      <c r="K10" s="382"/>
      <c r="L10" s="382"/>
      <c r="M10" s="382"/>
      <c r="N10" s="382"/>
      <c r="O10" s="382"/>
      <c r="P10" s="382"/>
      <c r="Q10" s="382"/>
      <c r="R10" s="382"/>
      <c r="S10" s="382"/>
      <c r="T10" s="382"/>
      <c r="U10" s="382"/>
      <c r="V10" s="382"/>
      <c r="W10" s="382"/>
      <c r="X10" s="382"/>
      <c r="Y10" s="382"/>
      <c r="Z10" s="382"/>
      <c r="AA10" s="382"/>
      <c r="AB10" s="382"/>
      <c r="AC10" s="382"/>
      <c r="AD10" s="382"/>
      <c r="AE10" s="382"/>
      <c r="AF10" s="382"/>
      <c r="AG10" s="382"/>
      <c r="AH10" s="382"/>
      <c r="AI10" s="381"/>
      <c r="AP10" s="434"/>
      <c r="AQ10" s="434"/>
      <c r="AT10" s="381">
        <v>0</v>
      </c>
    </row>
    <row r="11" spans="1:46" s="2212" customFormat="1" ht="11.25" hidden="1" customHeight="1">
      <c r="C11" s="432"/>
      <c r="D11" s="433" t="s">
        <v>411</v>
      </c>
      <c r="E11" s="433"/>
      <c r="F11" s="433"/>
      <c r="G11" s="433"/>
      <c r="H11" s="431"/>
      <c r="I11" s="431"/>
      <c r="J11" s="431"/>
      <c r="K11" s="431"/>
      <c r="L11" s="431"/>
      <c r="M11" s="431"/>
      <c r="N11" s="431"/>
      <c r="O11" s="431"/>
      <c r="P11" s="431"/>
      <c r="Q11" s="431"/>
      <c r="R11" s="431"/>
      <c r="S11" s="431"/>
      <c r="T11" s="431"/>
      <c r="U11" s="431"/>
      <c r="V11" s="431"/>
      <c r="W11" s="431"/>
      <c r="X11" s="431"/>
      <c r="Y11" s="431"/>
      <c r="Z11" s="431"/>
      <c r="AA11" s="431"/>
      <c r="AB11" s="431"/>
      <c r="AC11" s="431"/>
      <c r="AD11" s="431"/>
      <c r="AE11" s="369"/>
      <c r="AF11" s="369"/>
      <c r="AG11" s="369"/>
      <c r="AH11" s="369"/>
      <c r="AJ11" s="423"/>
      <c r="AK11" s="423"/>
      <c r="AL11" s="423"/>
      <c r="AM11" s="423"/>
      <c r="AN11" s="423"/>
      <c r="AO11" s="423"/>
      <c r="AP11" s="423"/>
      <c r="AQ11" s="423"/>
      <c r="AR11" s="423"/>
      <c r="AS11" s="423"/>
      <c r="AT11" s="430">
        <v>0</v>
      </c>
    </row>
    <row r="12" spans="1:46" ht="14.65" customHeight="1">
      <c r="A12" s="381"/>
      <c r="C12" s="384"/>
      <c r="D12" s="368" t="s">
        <v>124</v>
      </c>
      <c r="E12" s="1693" t="s">
        <v>28</v>
      </c>
      <c r="F12" s="779"/>
      <c r="G12" s="780"/>
      <c r="H12" s="1694"/>
      <c r="I12" s="1694"/>
      <c r="J12" s="367"/>
      <c r="K12" s="1777"/>
      <c r="L12" s="366"/>
      <c r="M12" s="1777"/>
      <c r="N12" s="367"/>
      <c r="O12" s="1777"/>
      <c r="P12" s="367"/>
      <c r="Q12" s="1777"/>
      <c r="R12" s="367"/>
      <c r="S12" s="778"/>
      <c r="T12" s="1694"/>
      <c r="U12" s="367"/>
      <c r="V12" s="367"/>
      <c r="W12" s="755"/>
      <c r="X12" s="1694"/>
      <c r="Y12" s="367"/>
      <c r="Z12" s="367"/>
      <c r="AA12" s="755"/>
      <c r="AB12" s="1694"/>
      <c r="AC12" s="367"/>
      <c r="AD12" s="755"/>
      <c r="AE12" s="3170" t="s">
        <v>412</v>
      </c>
      <c r="AF12" s="3170" t="s">
        <v>413</v>
      </c>
      <c r="AG12" s="3170" t="s">
        <v>414</v>
      </c>
      <c r="AH12" s="3170" t="s">
        <v>415</v>
      </c>
      <c r="AI12" s="381"/>
      <c r="AM12" s="445"/>
      <c r="AP12" s="434" t="s">
        <v>416</v>
      </c>
      <c r="AQ12" s="434" t="s">
        <v>416</v>
      </c>
      <c r="AT12" s="381">
        <v>14</v>
      </c>
    </row>
    <row r="13" spans="1:46" ht="18" customHeight="1">
      <c r="A13" s="381"/>
      <c r="C13" s="384"/>
      <c r="D13" s="339"/>
      <c r="E13" s="793" t="str">
        <f>IF(TITLE_DIFFERENTIATION_TYPE="нет","","Добавить систему")</f>
        <v/>
      </c>
      <c r="F13" s="793" t="str">
        <f>IF(TITLE_DIFFERENTIATION_TYPE="нет","Добавить вид деятельности","")</f>
        <v>Добавить вид деятельности</v>
      </c>
      <c r="G13" s="248"/>
      <c r="H13" s="340"/>
      <c r="I13" s="340"/>
      <c r="J13" s="340"/>
      <c r="K13" s="340"/>
      <c r="L13" s="340"/>
      <c r="M13" s="340"/>
      <c r="N13" s="340"/>
      <c r="O13" s="340"/>
      <c r="P13" s="340"/>
      <c r="Q13" s="340"/>
      <c r="R13" s="340"/>
      <c r="S13" s="340"/>
      <c r="T13" s="340"/>
      <c r="U13" s="340"/>
      <c r="V13" s="340"/>
      <c r="W13" s="340"/>
      <c r="X13" s="340"/>
      <c r="Y13" s="340"/>
      <c r="Z13" s="340"/>
      <c r="AA13" s="340"/>
      <c r="AB13" s="340"/>
      <c r="AC13" s="340"/>
      <c r="AD13" s="781"/>
      <c r="AE13" s="3171"/>
      <c r="AF13" s="3171"/>
      <c r="AG13" s="3171"/>
      <c r="AH13" s="3171"/>
      <c r="AI13" s="381"/>
      <c r="AT13" s="381">
        <v>17</v>
      </c>
    </row>
    <row r="14" spans="1:46" ht="14.65" customHeight="1">
      <c r="AI14" s="381"/>
      <c r="AT14" s="381">
        <v>14</v>
      </c>
    </row>
    <row r="15" spans="1:46" ht="14.65" customHeight="1">
      <c r="E15" s="690"/>
      <c r="L15" s="690"/>
      <c r="AT15" s="381">
        <v>14</v>
      </c>
    </row>
    <row r="16" spans="1:46" ht="14.65" customHeight="1">
      <c r="L16" s="690"/>
      <c r="AT16" s="381">
        <v>14</v>
      </c>
    </row>
    <row r="17" spans="1:46" ht="14.65" customHeight="1">
      <c r="L17" s="690"/>
      <c r="AT17" s="381">
        <v>14</v>
      </c>
    </row>
    <row r="18" spans="1:46" ht="22.5" hidden="1" customHeight="1">
      <c r="A18" s="383" t="s">
        <v>83</v>
      </c>
      <c r="B18" s="381">
        <v>0</v>
      </c>
      <c r="C18" s="385">
        <v>3</v>
      </c>
      <c r="D18" s="381">
        <v>5</v>
      </c>
      <c r="E18" s="381">
        <v>48</v>
      </c>
      <c r="F18" s="381">
        <v>38</v>
      </c>
      <c r="G18" s="690">
        <v>0</v>
      </c>
      <c r="H18" s="381">
        <v>0</v>
      </c>
      <c r="I18" s="381">
        <v>0</v>
      </c>
      <c r="J18" s="381">
        <v>0</v>
      </c>
      <c r="K18" s="381">
        <v>0</v>
      </c>
      <c r="L18" s="381">
        <v>0</v>
      </c>
      <c r="M18" s="381">
        <v>0</v>
      </c>
      <c r="N18" s="381">
        <v>0</v>
      </c>
      <c r="O18" s="381">
        <v>0</v>
      </c>
      <c r="P18" s="381">
        <v>0</v>
      </c>
      <c r="Q18" s="381">
        <v>0</v>
      </c>
      <c r="R18" s="381">
        <v>0</v>
      </c>
      <c r="S18" s="690">
        <v>0</v>
      </c>
      <c r="T18" s="439">
        <v>0</v>
      </c>
      <c r="U18" s="439">
        <v>0</v>
      </c>
      <c r="V18" s="439">
        <v>0</v>
      </c>
      <c r="W18" s="690">
        <v>0</v>
      </c>
      <c r="X18" s="439">
        <v>0</v>
      </c>
      <c r="Y18" s="439">
        <v>0</v>
      </c>
      <c r="Z18" s="439">
        <v>0</v>
      </c>
      <c r="AA18" s="690">
        <v>0</v>
      </c>
      <c r="AB18" s="439">
        <v>0</v>
      </c>
      <c r="AC18" s="439">
        <v>0</v>
      </c>
      <c r="AD18" s="690">
        <v>0</v>
      </c>
      <c r="AE18" s="381">
        <v>0</v>
      </c>
      <c r="AF18" s="439">
        <v>0</v>
      </c>
      <c r="AG18" s="439">
        <v>0</v>
      </c>
      <c r="AH18" s="439">
        <v>0</v>
      </c>
      <c r="AI18" s="386">
        <v>3</v>
      </c>
      <c r="AJ18" s="423">
        <v>10</v>
      </c>
      <c r="AK18" s="423">
        <v>10</v>
      </c>
      <c r="AL18" s="423">
        <v>10</v>
      </c>
      <c r="AM18" s="423">
        <v>0</v>
      </c>
      <c r="AN18" s="423">
        <v>15</v>
      </c>
      <c r="AO18" s="423">
        <v>16</v>
      </c>
      <c r="AP18" s="423">
        <v>10</v>
      </c>
      <c r="AQ18" s="423">
        <v>10</v>
      </c>
      <c r="AR18" s="423">
        <v>10</v>
      </c>
      <c r="AS18" s="423">
        <v>10</v>
      </c>
      <c r="AT18" s="381">
        <v>23</v>
      </c>
    </row>
  </sheetData>
  <sheetProtection formatColumns="0" formatRows="0" insertRows="0" deleteColumns="0" deleteRows="0" sort="0" autoFilter="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xr:uid="{00000000-0002-0000-0700-000000000000}"/>
    <dataValidation type="decimal" allowBlank="1" showErrorMessage="1" errorTitle="Ошибка" error="Допускается ввод только неотрицательных чисел!" sqref="H11:AD11 T12 H12:I12 AB12 X12 K12 M12 O12 Q12" xr:uid="{00000000-0002-0000-0700-000001000000}">
      <formula1>0</formula1>
      <formula2>9.99999999999999E+23</formula2>
    </dataValidation>
    <dataValidation type="textLength" operator="lessThanOrEqual" allowBlank="1" showInputMessage="1" showErrorMessage="1" errorTitle="Ошибка" error="Допускается ввод не более 900 символов!" sqref="E12" xr:uid="{00000000-0002-0000-0700-000002000000}">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xr:uid="{00000000-0002-0000-0700-000003000000}"/>
    <dataValidation type="whole" allowBlank="1" showErrorMessage="1" errorTitle="Ошибка" error="Допускается ввод только неотрицательных целых чисел!" sqref="N12 P12 U12:V12 Y12:Z12 J12 R12:S12 AC12" xr:uid="{00000000-0002-0000-0700-000004000000}">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xr:uid="{00000000-0002-0000-0700-000005000000}">
      <formula1>kind_of_power_te_unit</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4A127D-83E9-F041-2846-012C30572528}">
  <sheetPr>
    <tabColor theme="3" tint="0.59999389629810485"/>
  </sheetPr>
  <dimension ref="A1:V18"/>
  <sheetViews>
    <sheetView showGridLines="0" topLeftCell="C5" zoomScale="90" workbookViewId="0"/>
  </sheetViews>
  <sheetFormatPr defaultColWidth="10.59765625" defaultRowHeight="14.25" customHeight="1"/>
  <cols>
    <col min="1" max="1" width="9.09765625" style="2002" hidden="1" customWidth="1"/>
    <col min="2" max="2" width="9.09765625" style="2004" hidden="1" customWidth="1"/>
    <col min="3" max="3" width="3" style="2026" customWidth="1"/>
    <col min="4" max="4" width="5" style="2004" customWidth="1"/>
    <col min="5" max="5" width="38" style="2004" customWidth="1"/>
    <col min="6" max="7" width="3" style="2004" customWidth="1"/>
    <col min="8" max="8" width="38" style="2004" customWidth="1"/>
    <col min="9" max="9" width="35" style="2004" customWidth="1"/>
    <col min="10" max="10" width="103" style="2004" customWidth="1"/>
    <col min="11" max="11" width="3" style="2019" customWidth="1"/>
    <col min="12" max="14" width="10" style="2017" customWidth="1"/>
    <col min="15" max="15" width="13" style="2017" customWidth="1"/>
    <col min="16" max="16" width="15" style="2017" customWidth="1"/>
    <col min="17" max="17" width="16" style="2017" customWidth="1"/>
    <col min="18" max="21" width="10" style="2017" customWidth="1"/>
    <col min="22" max="22" width="10.59765625" style="2004" hidden="1"/>
  </cols>
  <sheetData>
    <row r="1" spans="1:22" ht="22.5" hidden="1" customHeight="1">
      <c r="E1" s="346"/>
      <c r="F1" s="346"/>
      <c r="G1" s="346"/>
      <c r="H1" s="3041" t="s">
        <v>387</v>
      </c>
      <c r="I1" s="3041"/>
      <c r="V1" s="1524" t="s">
        <v>14</v>
      </c>
    </row>
    <row r="2" spans="1:22" s="2004" customFormat="1" ht="14.25" hidden="1" customHeight="1">
      <c r="C2" s="1536"/>
      <c r="D2" s="3179" t="s">
        <v>124</v>
      </c>
      <c r="E2" s="3181"/>
      <c r="F2" s="1542"/>
      <c r="G2" s="1537" t="s">
        <v>124</v>
      </c>
      <c r="H2" s="1540"/>
      <c r="I2" s="1538"/>
      <c r="L2" s="1539"/>
      <c r="M2" s="1539"/>
      <c r="N2" s="1539"/>
      <c r="O2" s="1539" t="s">
        <v>417</v>
      </c>
      <c r="P2" s="1539"/>
      <c r="Q2" s="1539"/>
      <c r="R2" s="1541" t="s">
        <v>416</v>
      </c>
      <c r="S2" s="1541" t="s">
        <v>416</v>
      </c>
      <c r="T2" s="1539"/>
      <c r="U2" s="1539"/>
      <c r="V2" s="1535">
        <v>0</v>
      </c>
    </row>
    <row r="3" spans="1:22" s="2004" customFormat="1" ht="14.25" hidden="1" customHeight="1">
      <c r="C3" s="1536"/>
      <c r="D3" s="3180"/>
      <c r="E3" s="3182"/>
      <c r="F3" s="339"/>
      <c r="G3" s="793"/>
      <c r="H3" s="793" t="s">
        <v>418</v>
      </c>
      <c r="I3" s="248"/>
      <c r="L3" s="1539"/>
      <c r="M3" s="1539"/>
      <c r="N3" s="1539"/>
      <c r="O3" s="1539"/>
      <c r="P3" s="1539"/>
      <c r="Q3" s="1539"/>
      <c r="R3" s="1541"/>
      <c r="S3" s="1541"/>
      <c r="T3" s="1539"/>
      <c r="U3" s="1539"/>
      <c r="V3" s="1535">
        <v>0</v>
      </c>
    </row>
    <row r="4" spans="1:22" ht="14.25" hidden="1" customHeight="1">
      <c r="V4" s="1524">
        <v>0</v>
      </c>
    </row>
    <row r="5" spans="1:22" s="2211" customFormat="1" ht="5.25" customHeight="1">
      <c r="C5" s="635"/>
      <c r="D5" s="636"/>
      <c r="E5" s="636"/>
      <c r="F5" s="636"/>
      <c r="G5" s="636"/>
      <c r="H5" s="636" t="s">
        <v>391</v>
      </c>
      <c r="I5" s="636"/>
      <c r="J5" s="636"/>
      <c r="L5" s="1531"/>
      <c r="M5" s="1531"/>
      <c r="N5" s="1531"/>
      <c r="O5" s="1531"/>
      <c r="P5" s="1531"/>
      <c r="Q5" s="1531"/>
      <c r="R5" s="1531"/>
      <c r="S5" s="1531"/>
      <c r="T5" s="1531"/>
      <c r="U5" s="1531"/>
      <c r="V5" s="1530">
        <v>5</v>
      </c>
    </row>
    <row r="6" spans="1:22" ht="29.25" customHeight="1">
      <c r="C6" s="1433"/>
      <c r="D6" s="3183" t="s">
        <v>419</v>
      </c>
      <c r="E6" s="3183"/>
      <c r="F6" s="3183"/>
      <c r="G6" s="3183"/>
      <c r="H6" s="3183"/>
      <c r="I6" s="3183"/>
      <c r="J6" s="425"/>
      <c r="K6" s="1532"/>
      <c r="V6" s="1524">
        <v>28</v>
      </c>
    </row>
    <row r="7" spans="1:22" ht="18" customHeight="1">
      <c r="C7" s="1433"/>
      <c r="D7" s="3131" t="str">
        <f>IF(org=0,"Не определено",org)</f>
        <v>ООО "РСО"</v>
      </c>
      <c r="E7" s="3131"/>
      <c r="F7" s="3131"/>
      <c r="G7" s="3131"/>
      <c r="H7" s="3131"/>
      <c r="I7" s="3131"/>
      <c r="J7" s="425"/>
      <c r="K7" s="1532"/>
      <c r="V7" s="1524">
        <v>17</v>
      </c>
    </row>
    <row r="8" spans="1:22" s="2003" customFormat="1" ht="5.25" customHeight="1">
      <c r="A8" s="1528"/>
      <c r="C8" s="420"/>
      <c r="D8" s="419"/>
      <c r="E8" s="419"/>
      <c r="F8" s="419"/>
      <c r="G8" s="419"/>
      <c r="H8" s="419"/>
      <c r="I8" s="419"/>
      <c r="J8" s="419"/>
      <c r="L8" s="1531"/>
      <c r="M8" s="1531"/>
      <c r="N8" s="1531"/>
      <c r="O8" s="1531"/>
      <c r="P8" s="1531"/>
      <c r="Q8" s="1531"/>
      <c r="R8" s="1531"/>
      <c r="S8" s="1531"/>
      <c r="T8" s="1531"/>
      <c r="U8" s="1531"/>
      <c r="V8" s="1529">
        <v>5</v>
      </c>
    </row>
    <row r="9" spans="1:22" s="2003" customFormat="1" ht="5.25" customHeight="1">
      <c r="A9" s="1528"/>
      <c r="C9" s="420"/>
      <c r="D9" s="419"/>
      <c r="E9" s="419"/>
      <c r="F9" s="419"/>
      <c r="G9" s="419"/>
      <c r="H9" s="419"/>
      <c r="I9" s="419"/>
      <c r="J9" s="419"/>
      <c r="L9" s="1539"/>
      <c r="M9" s="1539"/>
      <c r="N9" s="1539"/>
      <c r="O9" s="1539"/>
      <c r="P9" s="1539"/>
      <c r="Q9" s="1539"/>
      <c r="R9" s="1539"/>
      <c r="S9" s="1539"/>
      <c r="T9" s="1539"/>
      <c r="U9" s="1539"/>
      <c r="V9" s="1529">
        <v>5</v>
      </c>
    </row>
    <row r="10" spans="1:22" ht="14.65" customHeight="1">
      <c r="C10" s="1433"/>
      <c r="D10" s="3167" t="s">
        <v>335</v>
      </c>
      <c r="E10" s="3168"/>
      <c r="F10" s="3168"/>
      <c r="G10" s="3168"/>
      <c r="H10" s="3168"/>
      <c r="I10" s="3168"/>
      <c r="J10" s="3106" t="s">
        <v>336</v>
      </c>
      <c r="V10" s="1524">
        <v>14</v>
      </c>
    </row>
    <row r="11" spans="1:22" ht="27.25" customHeight="1">
      <c r="C11" s="1433"/>
      <c r="D11" s="3067" t="s">
        <v>89</v>
      </c>
      <c r="E11" s="3106" t="s">
        <v>120</v>
      </c>
      <c r="F11" s="3145" t="s">
        <v>89</v>
      </c>
      <c r="G11" s="3146"/>
      <c r="H11" s="3130" t="s">
        <v>420</v>
      </c>
      <c r="I11" s="3130" t="s">
        <v>421</v>
      </c>
      <c r="J11" s="3106"/>
      <c r="V11" s="1524">
        <v>26</v>
      </c>
    </row>
    <row r="12" spans="1:22" ht="14.65" customHeight="1">
      <c r="C12" s="1433"/>
      <c r="D12" s="3067"/>
      <c r="E12" s="3106"/>
      <c r="F12" s="3150"/>
      <c r="G12" s="3151"/>
      <c r="H12" s="3178"/>
      <c r="I12" s="3178"/>
      <c r="J12" s="3106"/>
      <c r="V12" s="1524">
        <v>14</v>
      </c>
    </row>
    <row r="13" spans="1:22" s="2212" customFormat="1" ht="11.25" hidden="1" customHeight="1">
      <c r="C13" s="432"/>
      <c r="D13" s="433" t="s">
        <v>411</v>
      </c>
      <c r="E13" s="433"/>
      <c r="F13" s="433"/>
      <c r="G13" s="433"/>
      <c r="H13" s="431"/>
      <c r="I13" s="431"/>
      <c r="J13" s="369"/>
      <c r="L13" s="1531"/>
      <c r="M13" s="1531"/>
      <c r="N13" s="1531"/>
      <c r="O13" s="1531"/>
      <c r="P13" s="1531"/>
      <c r="Q13" s="1531"/>
      <c r="R13" s="1531"/>
      <c r="S13" s="1531"/>
      <c r="T13" s="1531"/>
      <c r="U13" s="1531"/>
      <c r="V13" s="430">
        <v>0</v>
      </c>
    </row>
    <row r="14" spans="1:22" ht="14.65" customHeight="1">
      <c r="A14" s="1524"/>
      <c r="C14" s="1433"/>
      <c r="D14" s="3179" t="s">
        <v>124</v>
      </c>
      <c r="E14" s="3181"/>
      <c r="F14" s="1534"/>
      <c r="G14" s="1533" t="s">
        <v>124</v>
      </c>
      <c r="H14" s="1540"/>
      <c r="I14" s="1538"/>
      <c r="J14" s="3124" t="s">
        <v>422</v>
      </c>
      <c r="K14" s="1524"/>
      <c r="R14" s="434" t="s">
        <v>416</v>
      </c>
      <c r="S14" s="434" t="s">
        <v>416</v>
      </c>
      <c r="V14" s="1524">
        <v>14</v>
      </c>
    </row>
    <row r="15" spans="1:22" ht="14.65" customHeight="1">
      <c r="A15" s="1524"/>
      <c r="C15" s="1433"/>
      <c r="D15" s="3180"/>
      <c r="E15" s="3182"/>
      <c r="F15" s="339"/>
      <c r="G15" s="793"/>
      <c r="H15" s="793" t="s">
        <v>418</v>
      </c>
      <c r="I15" s="248"/>
      <c r="J15" s="3125"/>
      <c r="K15" s="1524"/>
      <c r="R15" s="434"/>
      <c r="S15" s="434"/>
      <c r="V15" s="1524">
        <v>14</v>
      </c>
    </row>
    <row r="16" spans="1:22" ht="14.65" customHeight="1">
      <c r="A16" s="1524"/>
      <c r="C16" s="1433"/>
      <c r="D16" s="339"/>
      <c r="E16" s="793" t="s">
        <v>135</v>
      </c>
      <c r="F16" s="248"/>
      <c r="G16" s="248"/>
      <c r="H16" s="340"/>
      <c r="I16" s="340"/>
      <c r="J16" s="3126"/>
      <c r="K16" s="1524"/>
      <c r="V16" s="1524">
        <v>14</v>
      </c>
    </row>
    <row r="17" spans="1:22" ht="14.65" customHeight="1">
      <c r="K17" s="1524"/>
      <c r="V17" s="1524">
        <v>14</v>
      </c>
    </row>
    <row r="18" spans="1:22" ht="22.5" hidden="1" customHeight="1">
      <c r="A18" s="1525" t="s">
        <v>83</v>
      </c>
      <c r="B18" s="1524">
        <v>0</v>
      </c>
      <c r="C18" s="385">
        <v>3</v>
      </c>
      <c r="D18" s="1524">
        <v>5</v>
      </c>
      <c r="E18" s="1524">
        <v>38</v>
      </c>
      <c r="F18" s="1524">
        <v>3</v>
      </c>
      <c r="G18" s="1524">
        <v>3</v>
      </c>
      <c r="H18" s="1524">
        <v>38</v>
      </c>
      <c r="I18" s="1524">
        <v>35</v>
      </c>
      <c r="J18" s="1524">
        <v>103</v>
      </c>
      <c r="K18" s="1526">
        <v>3</v>
      </c>
      <c r="L18" s="1531">
        <v>10</v>
      </c>
      <c r="M18" s="1531">
        <v>10</v>
      </c>
      <c r="N18" s="1531">
        <v>10</v>
      </c>
      <c r="O18" s="1531">
        <v>13</v>
      </c>
      <c r="P18" s="1531">
        <v>15</v>
      </c>
      <c r="Q18" s="1531">
        <v>16</v>
      </c>
      <c r="R18" s="1531">
        <v>10</v>
      </c>
      <c r="S18" s="1531">
        <v>10</v>
      </c>
      <c r="T18" s="1531">
        <v>10</v>
      </c>
      <c r="U18" s="1531">
        <v>10</v>
      </c>
      <c r="V18" s="1524">
        <v>23</v>
      </c>
    </row>
  </sheetData>
  <sheetProtection formatColumns="0" formatRows="0" insertRows="0" deleteColumns="0" deleteRows="0" sort="0" autoFilter="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xr:uid="{00000000-0002-0000-0800-00000000000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xr:uid="{00000000-0002-0000-0800-000001000000}"/>
    <dataValidation type="decimal" allowBlank="1" showErrorMessage="1" errorTitle="Ошибка" error="Допускается ввод только неотрицательных чисел!" sqref="H13:I13" xr:uid="{00000000-0002-0000-0800-000002000000}">
      <formula1>0</formula1>
      <formula2>9.99999999999999E+23</formula2>
    </dataValidation>
    <dataValidation allowBlank="1" showErrorMessage="1" errorTitle="Ошибка" error="Допускается ввод только неотрицательных чисел!" sqref="E13:G13" xr:uid="{00000000-0002-0000-0800-000003000000}"/>
    <dataValidation type="textLength" operator="lessThanOrEqual" allowBlank="1" showInputMessage="1" showErrorMessage="1" errorTitle="Ошибка" error="Допускается ввод не более 900 символов!" sqref="H14 H2" xr:uid="{00000000-0002-0000-0800-000004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BC8CFF-B611-EB69-5D66-8E78E91B661A}">
  <sheetPr>
    <tabColor theme="3" tint="0.59999389629810485"/>
  </sheetPr>
  <dimension ref="A1:W19"/>
  <sheetViews>
    <sheetView showGridLines="0" topLeftCell="D3" zoomScale="90" workbookViewId="0"/>
  </sheetViews>
  <sheetFormatPr defaultColWidth="10.59765625" defaultRowHeight="14.25" customHeight="1"/>
  <cols>
    <col min="1" max="1" width="9.09765625" style="2002" hidden="1" customWidth="1"/>
    <col min="2" max="3" width="9.09765625" style="2004" hidden="1" customWidth="1"/>
    <col min="4" max="4" width="3" style="2026" customWidth="1"/>
    <col min="5" max="5" width="6" style="2004" customWidth="1"/>
    <col min="6" max="6" width="1.69921875" style="2004" hidden="1" customWidth="1"/>
    <col min="7" max="8" width="30" style="2004" customWidth="1"/>
    <col min="9" max="9" width="8" style="2004" customWidth="1"/>
    <col min="10" max="10" width="12.09765625" style="2004" customWidth="1"/>
    <col min="11" max="11" width="46" style="2004" customWidth="1"/>
    <col min="12" max="12" width="100" style="2004" customWidth="1"/>
    <col min="13" max="13" width="7" style="2019" customWidth="1"/>
    <col min="14" max="22" width="10" style="2004" customWidth="1"/>
    <col min="23" max="23" width="10.59765625" style="2004" hidden="1"/>
  </cols>
  <sheetData>
    <row r="1" spans="1:23" s="2017" customFormat="1" ht="5.25" hidden="1" customHeight="1">
      <c r="C1" s="445"/>
      <c r="D1" s="428"/>
      <c r="F1" s="445"/>
      <c r="G1" s="423" t="s">
        <v>84</v>
      </c>
      <c r="H1" s="423" t="s">
        <v>85</v>
      </c>
      <c r="I1" s="423" t="s">
        <v>86</v>
      </c>
      <c r="P1" s="423" t="s">
        <v>84</v>
      </c>
      <c r="Q1" s="423" t="s">
        <v>85</v>
      </c>
      <c r="R1" s="423" t="s">
        <v>86</v>
      </c>
      <c r="W1" s="423" t="s">
        <v>14</v>
      </c>
    </row>
    <row r="2" spans="1:23" s="2017" customFormat="1" ht="5.25" hidden="1" customHeight="1">
      <c r="C2" s="445"/>
      <c r="D2" s="428"/>
      <c r="F2" s="445"/>
      <c r="W2" s="423">
        <v>0</v>
      </c>
    </row>
    <row r="3" spans="1:23" s="2003" customFormat="1" ht="5.25" customHeight="1">
      <c r="A3" s="413"/>
      <c r="D3" s="420"/>
      <c r="E3" s="415"/>
      <c r="F3" s="415"/>
      <c r="G3" s="415"/>
      <c r="H3" s="415"/>
      <c r="I3" s="416"/>
      <c r="J3" s="417"/>
      <c r="K3" s="417"/>
      <c r="L3" s="417"/>
      <c r="W3" s="414">
        <v>5</v>
      </c>
    </row>
    <row r="4" spans="1:23" ht="23.25" customHeight="1">
      <c r="D4" s="384"/>
      <c r="E4" s="3060" t="s">
        <v>423</v>
      </c>
      <c r="F4" s="3060"/>
      <c r="G4" s="3061"/>
      <c r="H4" s="3061"/>
      <c r="I4" s="3062"/>
      <c r="J4" s="425"/>
      <c r="K4" s="387"/>
      <c r="L4" s="387"/>
      <c r="W4" s="381">
        <v>22</v>
      </c>
    </row>
    <row r="5" spans="1:23" s="2004" customFormat="1" ht="18" customHeight="1">
      <c r="A5" s="691"/>
      <c r="D5" s="750"/>
      <c r="E5" s="3164" t="str">
        <f>IF(org=0,"Не определено",org)</f>
        <v>ООО "РСО"</v>
      </c>
      <c r="F5" s="3164"/>
      <c r="G5" s="3165"/>
      <c r="H5" s="3165"/>
      <c r="I5" s="3166"/>
      <c r="J5" s="425"/>
      <c r="K5" s="387"/>
      <c r="L5" s="387"/>
      <c r="M5" s="441"/>
      <c r="W5" s="690">
        <v>17</v>
      </c>
    </row>
    <row r="6" spans="1:23" s="2003" customFormat="1" ht="11.5" customHeight="1">
      <c r="A6" s="413"/>
      <c r="D6" s="420"/>
      <c r="E6" s="415"/>
      <c r="F6" s="415"/>
      <c r="G6" s="418"/>
      <c r="H6" s="418"/>
      <c r="I6" s="419"/>
      <c r="J6" s="419"/>
      <c r="K6" s="686"/>
      <c r="L6" s="419"/>
      <c r="W6" s="414">
        <v>11</v>
      </c>
    </row>
    <row r="7" spans="1:23" ht="14.65" customHeight="1">
      <c r="D7" s="384"/>
      <c r="E7" s="3158" t="s">
        <v>335</v>
      </c>
      <c r="F7" s="3158"/>
      <c r="G7" s="3159"/>
      <c r="H7" s="3159"/>
      <c r="I7" s="3159"/>
      <c r="J7" s="3159"/>
      <c r="K7" s="3159"/>
      <c r="L7" s="3106" t="s">
        <v>336</v>
      </c>
      <c r="W7" s="381">
        <v>14</v>
      </c>
    </row>
    <row r="8" spans="1:23" ht="48.25" customHeight="1">
      <c r="D8" s="384"/>
      <c r="E8" s="407" t="s">
        <v>89</v>
      </c>
      <c r="F8" s="751"/>
      <c r="G8" s="399" t="s">
        <v>87</v>
      </c>
      <c r="H8" s="399" t="s">
        <v>88</v>
      </c>
      <c r="I8" s="348" t="s">
        <v>86</v>
      </c>
      <c r="J8" s="348" t="s">
        <v>424</v>
      </c>
      <c r="K8" s="348" t="s">
        <v>425</v>
      </c>
      <c r="L8" s="3106"/>
      <c r="W8" s="381">
        <v>46</v>
      </c>
    </row>
    <row r="9" spans="1:23" ht="12" hidden="1" customHeight="1">
      <c r="D9" s="421"/>
      <c r="E9" s="427"/>
      <c r="F9" s="758"/>
      <c r="G9" s="427"/>
      <c r="H9" s="427"/>
      <c r="I9" s="427"/>
      <c r="J9" s="427"/>
      <c r="K9" s="427"/>
      <c r="L9" s="427"/>
      <c r="M9" s="381"/>
      <c r="W9" s="381">
        <v>0</v>
      </c>
    </row>
    <row r="10" spans="1:23" ht="14.25" hidden="1" customHeight="1">
      <c r="A10" s="439"/>
      <c r="B10" s="439"/>
      <c r="D10" s="440"/>
      <c r="E10" s="446">
        <v>0</v>
      </c>
      <c r="F10" s="749"/>
      <c r="G10" s="442"/>
      <c r="H10" s="442"/>
      <c r="I10" s="442"/>
      <c r="J10" s="442"/>
      <c r="K10" s="442"/>
      <c r="L10" s="3170" t="s">
        <v>426</v>
      </c>
      <c r="M10" s="441"/>
      <c r="N10" s="439"/>
      <c r="O10" s="439"/>
      <c r="P10" s="439"/>
      <c r="Q10" s="439"/>
      <c r="R10" s="439"/>
      <c r="S10" s="439"/>
      <c r="T10" s="439"/>
      <c r="U10" s="439"/>
      <c r="V10" s="439"/>
      <c r="W10" s="381">
        <v>0</v>
      </c>
    </row>
    <row r="11" spans="1:23" ht="15" hidden="1" customHeight="1">
      <c r="A11" s="3042"/>
      <c r="B11" s="438"/>
      <c r="C11" s="438"/>
      <c r="D11" s="789"/>
      <c r="E11" s="447"/>
      <c r="F11" s="447"/>
      <c r="G11" s="447"/>
      <c r="H11" s="447"/>
      <c r="I11" s="448"/>
      <c r="J11" s="449"/>
      <c r="K11" s="647"/>
      <c r="L11" s="3184"/>
      <c r="M11" s="445"/>
      <c r="N11" s="445"/>
      <c r="O11" s="445"/>
      <c r="P11" s="450"/>
      <c r="Q11" s="450"/>
      <c r="R11" s="451"/>
      <c r="S11" s="445"/>
      <c r="T11" s="445"/>
      <c r="U11" s="445"/>
      <c r="V11" s="445"/>
      <c r="W11" s="381">
        <v>0</v>
      </c>
    </row>
    <row r="12" spans="1:23" s="2003" customFormat="1" ht="15" customHeight="1">
      <c r="A12" s="3042"/>
      <c r="B12" s="438"/>
      <c r="C12" s="438"/>
      <c r="D12" s="790"/>
      <c r="E12" s="751">
        <v>1</v>
      </c>
      <c r="F12" s="788">
        <v>23</v>
      </c>
      <c r="G12" s="787"/>
      <c r="H12" s="721"/>
      <c r="I12" s="719"/>
      <c r="J12" s="454" t="s">
        <v>67</v>
      </c>
      <c r="K12" s="1081" t="s">
        <v>28</v>
      </c>
      <c r="L12" s="3184"/>
      <c r="M12" s="445"/>
      <c r="N12" s="445"/>
      <c r="O12" s="445"/>
      <c r="P12" s="450" t="s">
        <v>427</v>
      </c>
      <c r="Q12" s="450" t="s">
        <v>428</v>
      </c>
      <c r="R12" s="451" t="s">
        <v>429</v>
      </c>
      <c r="S12" s="445" t="s">
        <v>430</v>
      </c>
      <c r="T12" s="445"/>
      <c r="U12" s="445"/>
      <c r="V12" s="445"/>
      <c r="W12" s="414">
        <v>14</v>
      </c>
    </row>
    <row r="13" spans="1:23" ht="15.75" customHeight="1">
      <c r="A13" s="3042"/>
      <c r="B13" s="439"/>
      <c r="D13" s="440"/>
      <c r="E13" s="339"/>
      <c r="F13" s="463"/>
      <c r="G13" s="350" t="s">
        <v>103</v>
      </c>
      <c r="H13" s="338"/>
      <c r="I13" s="338"/>
      <c r="J13" s="338"/>
      <c r="K13" s="337"/>
      <c r="L13" s="3171"/>
      <c r="M13" s="443"/>
      <c r="N13" s="439"/>
      <c r="O13" s="439"/>
      <c r="P13" s="439"/>
      <c r="Q13" s="439"/>
      <c r="R13" s="439"/>
      <c r="S13" s="439"/>
      <c r="T13" s="439"/>
      <c r="U13" s="439"/>
      <c r="V13" s="439"/>
      <c r="W13" s="381">
        <v>15</v>
      </c>
    </row>
    <row r="14" spans="1:23" ht="11.5" customHeight="1">
      <c r="A14" s="413"/>
      <c r="B14" s="414"/>
      <c r="C14" s="414"/>
      <c r="D14" s="429"/>
      <c r="E14" s="414"/>
      <c r="F14" s="414"/>
      <c r="G14" s="414"/>
      <c r="H14" s="414"/>
      <c r="I14" s="414"/>
      <c r="J14" s="414"/>
      <c r="K14" s="414"/>
      <c r="L14" s="414"/>
      <c r="M14" s="414"/>
      <c r="N14" s="414"/>
      <c r="O14" s="414"/>
      <c r="P14" s="414"/>
      <c r="Q14" s="414"/>
      <c r="R14" s="414"/>
      <c r="S14" s="414"/>
      <c r="T14" s="414"/>
      <c r="U14" s="414"/>
      <c r="V14" s="414"/>
      <c r="W14" s="381">
        <v>11</v>
      </c>
    </row>
    <row r="15" spans="1:23" ht="14.65" customHeight="1">
      <c r="D15" s="400"/>
      <c r="E15" s="271"/>
      <c r="F15" s="271"/>
      <c r="G15" s="598"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00"/>
      <c r="I15" s="400"/>
      <c r="J15" s="400"/>
      <c r="K15" s="400"/>
      <c r="L15" s="400"/>
      <c r="W15" s="381">
        <v>14</v>
      </c>
    </row>
    <row r="16" spans="1:23" ht="14.65" customHeight="1">
      <c r="W16" s="381">
        <v>14</v>
      </c>
    </row>
    <row r="17" spans="1:23" ht="14.65" customHeight="1">
      <c r="W17" s="381">
        <v>14</v>
      </c>
    </row>
    <row r="18" spans="1:23" ht="14.65" customHeight="1">
      <c r="G18" s="439"/>
      <c r="W18" s="381">
        <v>14</v>
      </c>
    </row>
    <row r="19" spans="1:23" ht="22.5" hidden="1" customHeight="1">
      <c r="A19" s="383" t="s">
        <v>83</v>
      </c>
      <c r="B19" s="381">
        <v>0</v>
      </c>
      <c r="C19" s="690">
        <v>0</v>
      </c>
      <c r="D19" s="385">
        <v>3</v>
      </c>
      <c r="E19" s="381">
        <v>6</v>
      </c>
      <c r="F19" s="690">
        <v>0</v>
      </c>
      <c r="G19" s="381">
        <v>30</v>
      </c>
      <c r="H19" s="381">
        <v>30</v>
      </c>
      <c r="I19" s="381">
        <v>8</v>
      </c>
      <c r="J19" s="381">
        <v>12</v>
      </c>
      <c r="K19" s="381">
        <v>46</v>
      </c>
      <c r="L19" s="381">
        <v>100</v>
      </c>
      <c r="M19" s="386">
        <v>7</v>
      </c>
      <c r="N19" s="381">
        <v>10</v>
      </c>
      <c r="O19" s="381">
        <v>10</v>
      </c>
      <c r="P19" s="381">
        <v>10</v>
      </c>
      <c r="Q19" s="381">
        <v>10</v>
      </c>
      <c r="R19" s="381">
        <v>10</v>
      </c>
      <c r="S19" s="381">
        <v>10</v>
      </c>
      <c r="T19" s="381">
        <v>10</v>
      </c>
      <c r="U19" s="381">
        <v>10</v>
      </c>
      <c r="V19" s="381">
        <v>10</v>
      </c>
      <c r="W19" s="381">
        <v>23</v>
      </c>
    </row>
  </sheetData>
  <sheetProtection formatColumns="0" formatRows="0" insertRows="0" deleteColumns="0" deleteRows="0" sort="0" autoFilter="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xr:uid="{00000000-0002-0000-0900-000000000000}">
      <formula1>0</formula1>
      <formula2>9.99999999999999E+23</formula2>
    </dataValidation>
    <dataValidation allowBlank="1" showInputMessage="1" showErrorMessage="1" prompt="Изменение значения по двойному щелчоку левой кнопки мыши" sqref="J12" xr:uid="{00000000-0002-0000-0900-00000100000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xr:uid="{00000000-0002-0000-0900-000002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7F0387-C454-12AB-50DB-A454FC74A904}">
  <sheetPr>
    <tabColor theme="6" tint="0.39997558519241921"/>
  </sheetPr>
  <dimension ref="A1:AS65"/>
  <sheetViews>
    <sheetView showGridLines="0" topLeftCell="P25" zoomScale="90" workbookViewId="0"/>
  </sheetViews>
  <sheetFormatPr defaultColWidth="10.59765625" defaultRowHeight="14.25" customHeight="1"/>
  <cols>
    <col min="1" max="1" width="10.59765625" style="2016" hidden="1"/>
    <col min="2" max="2" width="11" style="2016" hidden="1" customWidth="1"/>
    <col min="3" max="3" width="10.59765625" style="2016" hidden="1"/>
    <col min="4" max="4" width="11.796875" style="2016" hidden="1" customWidth="1"/>
    <col min="5" max="5" width="10" style="2016" hidden="1" customWidth="1"/>
    <col min="6" max="6" width="8.69921875" style="2016" hidden="1" customWidth="1"/>
    <col min="7" max="7" width="7.59765625" style="2016" hidden="1" customWidth="1"/>
    <col min="8" max="8" width="11.3984375" style="2016" hidden="1" customWidth="1"/>
    <col min="9" max="9" width="12" style="2016" hidden="1" customWidth="1"/>
    <col min="10" max="10" width="9.796875" style="2016" hidden="1" customWidth="1"/>
    <col min="11" max="11" width="11.3984375" style="2016" hidden="1" customWidth="1"/>
    <col min="12" max="12" width="19.09765625" style="2216" hidden="1" customWidth="1"/>
    <col min="13" max="14" width="12.296875" style="2006" hidden="1" customWidth="1"/>
    <col min="15" max="15" width="23.3984375" style="2006" hidden="1" customWidth="1"/>
    <col min="16" max="16" width="3" style="2217" customWidth="1"/>
    <col min="17" max="18" width="3" style="2215" customWidth="1"/>
    <col min="19" max="19" width="12" style="2218" customWidth="1"/>
    <col min="20" max="20" width="35" style="2004" customWidth="1"/>
    <col min="21" max="21" width="9.765625E-2" style="2004" customWidth="1"/>
    <col min="22" max="22" width="24.69921875" style="2004" hidden="1" customWidth="1"/>
    <col min="23" max="23" width="9.765625E-2" style="2004" hidden="1" customWidth="1"/>
    <col min="24" max="25" width="24.69921875" style="2004" hidden="1" customWidth="1"/>
    <col min="26" max="26" width="11.69921875" style="2004" hidden="1" customWidth="1"/>
    <col min="27" max="27" width="3.69921875" style="2004" hidden="1" customWidth="1"/>
    <col min="28" max="28" width="11.69921875" style="2004" hidden="1" customWidth="1"/>
    <col min="29" max="29" width="8.59765625" style="2004" hidden="1" customWidth="1"/>
    <col min="30" max="30" width="24.69921875" style="2004" customWidth="1"/>
    <col min="31" max="31" width="9.765625E-2" style="2004" customWidth="1"/>
    <col min="32" max="33" width="24" style="2004" customWidth="1"/>
    <col min="34" max="34" width="11" style="2004" customWidth="1"/>
    <col min="35" max="35" width="3.69921875" style="2004" customWidth="1"/>
    <col min="36" max="36" width="11" style="2004" customWidth="1"/>
    <col min="37" max="37" width="8.59765625" style="2004" hidden="1" customWidth="1"/>
    <col min="38" max="38" width="4" style="2004" customWidth="1"/>
    <col min="39" max="39" width="115" style="2004" customWidth="1"/>
    <col min="40" max="44" width="10" style="2017" customWidth="1"/>
    <col min="45" max="45" width="10.59765625" style="2004" hidden="1"/>
  </cols>
  <sheetData>
    <row r="1" spans="1:45" ht="22.5" hidden="1" customHeight="1">
      <c r="Y1" s="262"/>
      <c r="Z1" s="262"/>
      <c r="AG1" s="262"/>
      <c r="AH1" s="262"/>
      <c r="AS1" s="1072" t="s">
        <v>14</v>
      </c>
    </row>
    <row r="2" spans="1:45" ht="21" hidden="1" customHeight="1">
      <c r="A2" s="1280"/>
      <c r="B2" s="1280"/>
      <c r="C2" s="1280"/>
      <c r="D2" s="1280"/>
      <c r="E2" s="3199">
        <v>1</v>
      </c>
      <c r="F2" s="1280"/>
      <c r="G2" s="1280"/>
      <c r="H2" s="1280"/>
      <c r="I2" s="1280"/>
      <c r="J2" s="1280"/>
      <c r="K2" s="1280"/>
      <c r="L2" s="1281"/>
      <c r="M2" s="1282"/>
      <c r="N2" s="1282"/>
      <c r="O2" s="1282"/>
      <c r="P2" s="295"/>
      <c r="Q2" s="294"/>
      <c r="R2" s="289"/>
      <c r="S2" s="1226" t="e">
        <f>INDEX(PT_DIFFERENTIATION_NUM_NTAR,MATCH(A2,PT_DIFFERENTIATION_NTAR_ID,0))</f>
        <v>#N/A</v>
      </c>
      <c r="T2" s="233" t="s">
        <v>137</v>
      </c>
      <c r="U2" s="235"/>
      <c r="V2" s="3185"/>
      <c r="W2" s="3186"/>
      <c r="X2" s="3186"/>
      <c r="Y2" s="3186"/>
      <c r="Z2" s="3186"/>
      <c r="AA2" s="3186"/>
      <c r="AB2" s="3186"/>
      <c r="AC2" s="3187"/>
      <c r="AD2" s="3185" t="e">
        <f>INDEX(PT_DIFFERENTIATION_NTAR,MATCH(A2,PT_DIFFERENTIATION_NTAR_ID,0))</f>
        <v>#N/A</v>
      </c>
      <c r="AE2" s="3186"/>
      <c r="AF2" s="3186"/>
      <c r="AG2" s="3186"/>
      <c r="AH2" s="3186"/>
      <c r="AI2" s="3186"/>
      <c r="AJ2" s="3186"/>
      <c r="AK2" s="3186"/>
      <c r="AL2" s="3187"/>
      <c r="AM2" s="1175" t="s">
        <v>431</v>
      </c>
      <c r="AO2" s="434"/>
      <c r="AP2" s="434" t="str">
        <f t="shared" ref="AP2:AP15" si="0">IF(T2="","",T2)</f>
        <v>Наименование тарифа</v>
      </c>
      <c r="AQ2" s="434"/>
      <c r="AR2" s="434"/>
      <c r="AS2" s="1072">
        <v>0</v>
      </c>
    </row>
    <row r="3" spans="1:45" ht="21" hidden="1" customHeight="1">
      <c r="A3" s="1280"/>
      <c r="B3" s="1280"/>
      <c r="C3" s="1280"/>
      <c r="D3" s="1280"/>
      <c r="E3" s="3200"/>
      <c r="F3" s="3199">
        <v>1</v>
      </c>
      <c r="G3" s="1280"/>
      <c r="H3" s="1280"/>
      <c r="I3" s="1280"/>
      <c r="J3" s="1280"/>
      <c r="K3" s="1280"/>
      <c r="L3" s="1281"/>
      <c r="M3" s="1282"/>
      <c r="N3" s="1282"/>
      <c r="O3" s="1282"/>
      <c r="P3" s="1221"/>
      <c r="Q3" s="286"/>
      <c r="R3" s="287"/>
      <c r="S3" s="1226" t="e">
        <f>INDEX(PT_DIFFERENTIATION_NUM_TER,MATCH(B3,PT_DIFFERENTIATION_TER_ID,0))</f>
        <v>#N/A</v>
      </c>
      <c r="T3" s="243" t="s">
        <v>432</v>
      </c>
      <c r="U3" s="235"/>
      <c r="V3" s="3185"/>
      <c r="W3" s="3186"/>
      <c r="X3" s="3186"/>
      <c r="Y3" s="3186"/>
      <c r="Z3" s="3186"/>
      <c r="AA3" s="3186"/>
      <c r="AB3" s="3186"/>
      <c r="AC3" s="3187"/>
      <c r="AD3" s="3185" t="e">
        <f>INDEX(PT_DIFFERENTIATION_TER,MATCH(B3,PT_DIFFERENTIATION_TER_ID,0))</f>
        <v>#N/A</v>
      </c>
      <c r="AE3" s="3186"/>
      <c r="AF3" s="3186"/>
      <c r="AG3" s="3186"/>
      <c r="AH3" s="3186"/>
      <c r="AI3" s="3186"/>
      <c r="AJ3" s="3186"/>
      <c r="AK3" s="3186"/>
      <c r="AL3" s="3187"/>
      <c r="AM3" s="1175" t="s">
        <v>433</v>
      </c>
      <c r="AO3" s="434"/>
      <c r="AP3" s="434" t="str">
        <f t="shared" si="0"/>
        <v>Территория действия тарифа</v>
      </c>
      <c r="AQ3" s="434"/>
      <c r="AR3" s="434"/>
      <c r="AS3" s="1072">
        <v>0</v>
      </c>
    </row>
    <row r="4" spans="1:45" ht="23.25" hidden="1" customHeight="1">
      <c r="A4" s="1280"/>
      <c r="B4" s="1280"/>
      <c r="C4" s="1280"/>
      <c r="D4" s="1280"/>
      <c r="E4" s="3200"/>
      <c r="F4" s="3200"/>
      <c r="G4" s="3199">
        <v>1</v>
      </c>
      <c r="H4" s="1280"/>
      <c r="I4" s="1280"/>
      <c r="J4" s="1280"/>
      <c r="K4" s="1280"/>
      <c r="L4" s="1281"/>
      <c r="M4" s="1282"/>
      <c r="N4" s="1282"/>
      <c r="O4" s="1282"/>
      <c r="P4" s="288"/>
      <c r="Q4" s="286"/>
      <c r="R4" s="287"/>
      <c r="S4" s="1226" t="e">
        <f>INDEX(PT_DIFFERENTIATION_NUM_CS,MATCH(C4,PT_DIFFERENTIATION_CS_ID,0))</f>
        <v>#N/A</v>
      </c>
      <c r="T4" s="244" t="s">
        <v>434</v>
      </c>
      <c r="U4" s="235"/>
      <c r="V4" s="3185"/>
      <c r="W4" s="3186"/>
      <c r="X4" s="3186"/>
      <c r="Y4" s="3186"/>
      <c r="Z4" s="3186"/>
      <c r="AA4" s="3186"/>
      <c r="AB4" s="3186"/>
      <c r="AC4" s="3187"/>
      <c r="AD4" s="3185" t="e">
        <f>INDEX(PT_DIFFERENTIATION_CS,MATCH(C4,PT_DIFFERENTIATION_CS_ID,0))</f>
        <v>#N/A</v>
      </c>
      <c r="AE4" s="3186"/>
      <c r="AF4" s="3186"/>
      <c r="AG4" s="3186"/>
      <c r="AH4" s="3186"/>
      <c r="AI4" s="3186"/>
      <c r="AJ4" s="3186"/>
      <c r="AK4" s="3186"/>
      <c r="AL4" s="3187"/>
      <c r="AM4" s="1175" t="s">
        <v>435</v>
      </c>
      <c r="AO4" s="434"/>
      <c r="AP4" s="434" t="str">
        <f t="shared" si="0"/>
        <v xml:space="preserve">Наименование системы теплоснабжения </v>
      </c>
      <c r="AQ4" s="434"/>
      <c r="AR4" s="434"/>
      <c r="AS4" s="1072">
        <v>0</v>
      </c>
    </row>
    <row r="5" spans="1:45" ht="21" hidden="1" customHeight="1">
      <c r="A5" s="1280"/>
      <c r="B5" s="1280"/>
      <c r="C5" s="1280"/>
      <c r="D5" s="1280"/>
      <c r="E5" s="3200"/>
      <c r="F5" s="3200"/>
      <c r="G5" s="3200"/>
      <c r="H5" s="3199">
        <v>1</v>
      </c>
      <c r="I5" s="1280"/>
      <c r="J5" s="1280"/>
      <c r="K5" s="1280"/>
      <c r="L5" s="1281"/>
      <c r="M5" s="1282"/>
      <c r="N5" s="1282"/>
      <c r="O5" s="1282"/>
      <c r="P5" s="288"/>
      <c r="Q5" s="286"/>
      <c r="R5" s="287"/>
      <c r="S5" s="1226" t="e">
        <f>INDEX(PT_DIFFERENTIATION_NUM_IST_TE,MATCH(D5,PT_DIFFERENTIATION_IST_TE_ID,0))</f>
        <v>#N/A</v>
      </c>
      <c r="T5" s="245" t="s">
        <v>436</v>
      </c>
      <c r="U5" s="235"/>
      <c r="V5" s="3185"/>
      <c r="W5" s="3186"/>
      <c r="X5" s="3186"/>
      <c r="Y5" s="3186"/>
      <c r="Z5" s="3186"/>
      <c r="AA5" s="3186"/>
      <c r="AB5" s="3186"/>
      <c r="AC5" s="3187"/>
      <c r="AD5" s="3185" t="e">
        <f>INDEX(PT_DIFFERENTIATION_IST_TE,MATCH(D5,PT_DIFFERENTIATION_IST_TE_ID,0))</f>
        <v>#N/A</v>
      </c>
      <c r="AE5" s="3186"/>
      <c r="AF5" s="3186"/>
      <c r="AG5" s="3186"/>
      <c r="AH5" s="3186"/>
      <c r="AI5" s="3186"/>
      <c r="AJ5" s="3186"/>
      <c r="AK5" s="3186"/>
      <c r="AL5" s="3187"/>
      <c r="AM5" s="1175" t="s">
        <v>437</v>
      </c>
      <c r="AO5" s="434"/>
      <c r="AP5" s="434" t="str">
        <f t="shared" si="0"/>
        <v xml:space="preserve">Источник тепловой энергии  </v>
      </c>
      <c r="AQ5" s="434"/>
      <c r="AR5" s="434"/>
      <c r="AS5" s="1072">
        <v>0</v>
      </c>
    </row>
    <row r="6" spans="1:45" ht="47.25" hidden="1" customHeight="1">
      <c r="A6" s="1280"/>
      <c r="B6" s="1280"/>
      <c r="C6" s="1280"/>
      <c r="D6" s="1280"/>
      <c r="E6" s="3200"/>
      <c r="F6" s="3200"/>
      <c r="G6" s="3200"/>
      <c r="H6" s="3200"/>
      <c r="I6" s="3197" t="e">
        <f>S5&amp;".1"</f>
        <v>#N/A</v>
      </c>
      <c r="J6" s="1280"/>
      <c r="K6" s="1280"/>
      <c r="L6" s="1281" t="s">
        <v>438</v>
      </c>
      <c r="M6" s="471"/>
      <c r="P6" s="3198">
        <v>1</v>
      </c>
      <c r="Q6" s="1222"/>
      <c r="R6" s="290"/>
      <c r="S6" s="1226" t="e">
        <f>$I6</f>
        <v>#N/A</v>
      </c>
      <c r="T6" s="220" t="s">
        <v>439</v>
      </c>
      <c r="U6" s="235"/>
      <c r="V6" s="3188"/>
      <c r="W6" s="3189"/>
      <c r="X6" s="3189"/>
      <c r="Y6" s="3189"/>
      <c r="Z6" s="3189"/>
      <c r="AA6" s="3189"/>
      <c r="AB6" s="3189"/>
      <c r="AC6" s="3190"/>
      <c r="AD6" s="3188"/>
      <c r="AE6" s="3189"/>
      <c r="AF6" s="3189"/>
      <c r="AG6" s="3189"/>
      <c r="AH6" s="3189"/>
      <c r="AI6" s="3189"/>
      <c r="AJ6" s="3189"/>
      <c r="AK6" s="3189"/>
      <c r="AL6" s="3190"/>
      <c r="AM6" s="1175" t="s">
        <v>440</v>
      </c>
      <c r="AO6" s="434"/>
      <c r="AP6" s="434" t="str">
        <f t="shared" si="0"/>
        <v>Схема подключения теплопотребляющей установки к коллектору источника тепловой энергии</v>
      </c>
      <c r="AQ6" s="434"/>
      <c r="AR6" s="434"/>
      <c r="AS6" s="1072">
        <v>0</v>
      </c>
    </row>
    <row r="7" spans="1:45" ht="21" hidden="1" customHeight="1">
      <c r="A7" s="1280"/>
      <c r="B7" s="1280"/>
      <c r="C7" s="1280"/>
      <c r="D7" s="1280"/>
      <c r="E7" s="3200"/>
      <c r="F7" s="3200"/>
      <c r="G7" s="3200"/>
      <c r="H7" s="3200"/>
      <c r="I7" s="3220"/>
      <c r="J7" s="3197" t="e">
        <f>I6&amp;".1"</f>
        <v>#N/A</v>
      </c>
      <c r="K7" s="1280"/>
      <c r="L7" s="1281" t="s">
        <v>441</v>
      </c>
      <c r="M7" s="471"/>
      <c r="N7" s="1283"/>
      <c r="P7" s="3198"/>
      <c r="Q7" s="3198">
        <v>1</v>
      </c>
      <c r="R7" s="291"/>
      <c r="S7" s="1226" t="e">
        <f>$J7</f>
        <v>#N/A</v>
      </c>
      <c r="T7" s="221" t="s">
        <v>442</v>
      </c>
      <c r="U7" s="235"/>
      <c r="V7" s="3188"/>
      <c r="W7" s="3189"/>
      <c r="X7" s="3189"/>
      <c r="Y7" s="3189"/>
      <c r="Z7" s="3189"/>
      <c r="AA7" s="3189"/>
      <c r="AB7" s="3189"/>
      <c r="AC7" s="3190"/>
      <c r="AD7" s="3188"/>
      <c r="AE7" s="3189"/>
      <c r="AF7" s="3189"/>
      <c r="AG7" s="3189"/>
      <c r="AH7" s="3189"/>
      <c r="AI7" s="3189"/>
      <c r="AJ7" s="3189"/>
      <c r="AK7" s="3189"/>
      <c r="AL7" s="3190"/>
      <c r="AM7" s="1175" t="s">
        <v>443</v>
      </c>
      <c r="AO7" s="434"/>
      <c r="AP7" s="434" t="str">
        <f t="shared" si="0"/>
        <v>Группа потребителей</v>
      </c>
      <c r="AQ7" s="434"/>
      <c r="AR7" s="434"/>
      <c r="AS7" s="1072">
        <v>0</v>
      </c>
    </row>
    <row r="8" spans="1:45" ht="21" hidden="1" customHeight="1">
      <c r="A8" s="1280"/>
      <c r="B8" s="1280"/>
      <c r="C8" s="1280"/>
      <c r="D8" s="1280"/>
      <c r="E8" s="3200"/>
      <c r="F8" s="3200"/>
      <c r="G8" s="3200"/>
      <c r="H8" s="3200"/>
      <c r="I8" s="3220"/>
      <c r="J8" s="3220"/>
      <c r="K8" s="3197" t="e">
        <f>J7&amp;".1"</f>
        <v>#N/A</v>
      </c>
      <c r="L8" s="1281" t="s">
        <v>444</v>
      </c>
      <c r="M8" s="471"/>
      <c r="N8" s="1283"/>
      <c r="O8" s="1283"/>
      <c r="P8" s="3198"/>
      <c r="Q8" s="3198"/>
      <c r="R8" s="291">
        <v>1</v>
      </c>
      <c r="S8" s="1226" t="e">
        <f>$K8</f>
        <v>#N/A</v>
      </c>
      <c r="T8" s="1264"/>
      <c r="U8" s="235"/>
      <c r="V8" s="685"/>
      <c r="W8" s="260"/>
      <c r="X8" s="685"/>
      <c r="Y8" s="1174"/>
      <c r="Z8" s="3202"/>
      <c r="AA8" s="3048" t="s">
        <v>67</v>
      </c>
      <c r="AB8" s="3202"/>
      <c r="AC8" s="3048" t="s">
        <v>67</v>
      </c>
      <c r="AD8" s="685"/>
      <c r="AE8" s="260"/>
      <c r="AF8" s="685"/>
      <c r="AG8" s="1174"/>
      <c r="AH8" s="3202"/>
      <c r="AI8" s="3048" t="s">
        <v>67</v>
      </c>
      <c r="AJ8" s="3202"/>
      <c r="AK8" s="3048" t="s">
        <v>67</v>
      </c>
      <c r="AL8" s="260"/>
      <c r="AM8" s="3194" t="s">
        <v>445</v>
      </c>
      <c r="AN8" s="445" t="e">
        <f ca="1">STRCHECKDATE(V9:AL9)</f>
        <v>#NAME?</v>
      </c>
      <c r="AO8" s="434"/>
      <c r="AP8" s="434" t="str">
        <f t="shared" si="0"/>
        <v/>
      </c>
      <c r="AQ8" s="434"/>
      <c r="AR8" s="434"/>
      <c r="AS8" s="1072">
        <v>0</v>
      </c>
    </row>
    <row r="9" spans="1:45" ht="0.75" hidden="1" customHeight="1">
      <c r="A9" s="1280"/>
      <c r="B9" s="1280"/>
      <c r="C9" s="1280"/>
      <c r="D9" s="1280"/>
      <c r="E9" s="3200"/>
      <c r="F9" s="3200"/>
      <c r="G9" s="3200"/>
      <c r="H9" s="3200"/>
      <c r="I9" s="3220"/>
      <c r="J9" s="3220"/>
      <c r="K9" s="3197"/>
      <c r="L9" s="1281"/>
      <c r="M9" s="471"/>
      <c r="N9" s="1283"/>
      <c r="O9" s="1283"/>
      <c r="P9" s="3198"/>
      <c r="Q9" s="3198"/>
      <c r="R9" s="291"/>
      <c r="S9" s="1223"/>
      <c r="T9" s="235"/>
      <c r="U9" s="235"/>
      <c r="V9" s="260"/>
      <c r="W9" s="260"/>
      <c r="X9" s="260"/>
      <c r="Y9" s="263" t="str">
        <f>Z8&amp;"-"&amp;AB8</f>
        <v>-</v>
      </c>
      <c r="Z9" s="3203"/>
      <c r="AA9" s="3048"/>
      <c r="AB9" s="3203"/>
      <c r="AC9" s="3048"/>
      <c r="AD9" s="260"/>
      <c r="AE9" s="260"/>
      <c r="AF9" s="260"/>
      <c r="AG9" s="263" t="str">
        <f>AH8&amp;"-"&amp;AJ8</f>
        <v>-</v>
      </c>
      <c r="AH9" s="3203"/>
      <c r="AI9" s="3048"/>
      <c r="AJ9" s="3203"/>
      <c r="AK9" s="3048"/>
      <c r="AL9" s="260"/>
      <c r="AM9" s="3195"/>
      <c r="AO9" s="434"/>
      <c r="AP9" s="434" t="str">
        <f t="shared" si="0"/>
        <v/>
      </c>
      <c r="AQ9" s="434"/>
      <c r="AR9" s="434"/>
      <c r="AS9" s="1072">
        <v>0</v>
      </c>
    </row>
    <row r="10" spans="1:45" ht="15" hidden="1" customHeight="1">
      <c r="A10" s="1280"/>
      <c r="B10" s="1280"/>
      <c r="C10" s="1280"/>
      <c r="D10" s="1280"/>
      <c r="E10" s="3200"/>
      <c r="F10" s="3200"/>
      <c r="G10" s="3200"/>
      <c r="H10" s="3200"/>
      <c r="I10" s="3220"/>
      <c r="J10" s="3197"/>
      <c r="K10" s="1280"/>
      <c r="L10" s="1281"/>
      <c r="M10" s="471"/>
      <c r="N10" s="1283"/>
      <c r="P10" s="3198"/>
      <c r="Q10" s="3198"/>
      <c r="R10" s="290"/>
      <c r="S10" s="1195"/>
      <c r="T10" s="223" t="s">
        <v>446</v>
      </c>
      <c r="U10" s="301"/>
      <c r="V10" s="301"/>
      <c r="W10" s="301"/>
      <c r="X10" s="301"/>
      <c r="Y10" s="301"/>
      <c r="Z10" s="301"/>
      <c r="AA10" s="301"/>
      <c r="AB10" s="301"/>
      <c r="AC10" s="301"/>
      <c r="AD10" s="301"/>
      <c r="AE10" s="301"/>
      <c r="AF10" s="301"/>
      <c r="AG10" s="301"/>
      <c r="AH10" s="301"/>
      <c r="AI10" s="301"/>
      <c r="AJ10" s="301"/>
      <c r="AK10" s="301"/>
      <c r="AL10" s="259"/>
      <c r="AM10" s="3196"/>
      <c r="AO10" s="434"/>
      <c r="AP10" s="434" t="str">
        <f t="shared" si="0"/>
        <v>Добавить вид теплоносителя (параметры теплоносителя)</v>
      </c>
      <c r="AQ10" s="434"/>
      <c r="AR10" s="434"/>
      <c r="AS10" s="1072">
        <v>0</v>
      </c>
    </row>
    <row r="11" spans="1:45" ht="15" hidden="1" customHeight="1">
      <c r="A11" s="1280"/>
      <c r="B11" s="1280"/>
      <c r="C11" s="1280"/>
      <c r="D11" s="1280"/>
      <c r="E11" s="3200"/>
      <c r="F11" s="3200"/>
      <c r="G11" s="3200"/>
      <c r="H11" s="3200"/>
      <c r="I11" s="3197"/>
      <c r="J11" s="1280"/>
      <c r="K11" s="1280"/>
      <c r="L11" s="1281"/>
      <c r="M11" s="471"/>
      <c r="P11" s="3198"/>
      <c r="Q11" s="1222"/>
      <c r="R11" s="290"/>
      <c r="S11" s="1195"/>
      <c r="T11" s="222" t="s">
        <v>447</v>
      </c>
      <c r="U11" s="301"/>
      <c r="V11" s="301"/>
      <c r="W11" s="301"/>
      <c r="X11" s="301"/>
      <c r="Y11" s="301"/>
      <c r="Z11" s="301"/>
      <c r="AA11" s="301"/>
      <c r="AB11" s="301"/>
      <c r="AC11" s="300"/>
      <c r="AD11" s="301"/>
      <c r="AE11" s="301"/>
      <c r="AF11" s="301"/>
      <c r="AG11" s="301"/>
      <c r="AH11" s="301"/>
      <c r="AI11" s="301"/>
      <c r="AJ11" s="301"/>
      <c r="AK11" s="300"/>
      <c r="AL11" s="301"/>
      <c r="AM11" s="238"/>
      <c r="AO11" s="434"/>
      <c r="AP11" s="434" t="str">
        <f t="shared" si="0"/>
        <v>Добавить группу потребителей</v>
      </c>
      <c r="AQ11" s="434"/>
      <c r="AR11" s="434"/>
      <c r="AS11" s="1072">
        <v>0</v>
      </c>
    </row>
    <row r="12" spans="1:45" ht="14.25" hidden="1" customHeight="1">
      <c r="A12" s="1280"/>
      <c r="B12" s="1280"/>
      <c r="C12" s="1280"/>
      <c r="D12" s="1280"/>
      <c r="E12" s="3200"/>
      <c r="F12" s="3200"/>
      <c r="G12" s="3200"/>
      <c r="H12" s="3199"/>
      <c r="I12" s="1280"/>
      <c r="J12" s="1280"/>
      <c r="K12" s="1280"/>
      <c r="L12" s="1281"/>
      <c r="M12" s="1282"/>
      <c r="N12" s="1282"/>
      <c r="O12" s="471"/>
      <c r="P12" s="294"/>
      <c r="Q12" s="309"/>
      <c r="R12" s="289"/>
      <c r="S12" s="1195"/>
      <c r="T12" s="299" t="s">
        <v>448</v>
      </c>
      <c r="U12" s="301"/>
      <c r="V12" s="301"/>
      <c r="W12" s="301"/>
      <c r="X12" s="301"/>
      <c r="Y12" s="301"/>
      <c r="Z12" s="301"/>
      <c r="AA12" s="301"/>
      <c r="AB12" s="301"/>
      <c r="AC12" s="300"/>
      <c r="AD12" s="301"/>
      <c r="AE12" s="301"/>
      <c r="AF12" s="301"/>
      <c r="AG12" s="301"/>
      <c r="AH12" s="301"/>
      <c r="AI12" s="301"/>
      <c r="AJ12" s="301"/>
      <c r="AK12" s="300"/>
      <c r="AL12" s="301"/>
      <c r="AM12" s="238"/>
      <c r="AO12" s="434"/>
      <c r="AP12" s="434" t="str">
        <f t="shared" si="0"/>
        <v>Добавить схему подключения</v>
      </c>
      <c r="AQ12" s="434"/>
      <c r="AR12" s="434"/>
      <c r="AS12" s="1072">
        <v>0</v>
      </c>
    </row>
    <row r="13" spans="1:45" s="2017" customFormat="1" ht="0.75" hidden="1" customHeight="1">
      <c r="A13" s="1231"/>
      <c r="B13" s="1231"/>
      <c r="C13" s="1231"/>
      <c r="D13" s="1231"/>
      <c r="E13" s="3200"/>
      <c r="F13" s="3200"/>
      <c r="G13" s="3199"/>
      <c r="H13" s="1231"/>
      <c r="I13" s="1231"/>
      <c r="J13" s="1231"/>
      <c r="K13" s="1231"/>
      <c r="L13" s="1256"/>
      <c r="M13" s="1232"/>
      <c r="N13" s="1232"/>
      <c r="P13" s="1233"/>
      <c r="Q13" s="1234"/>
      <c r="R13" s="1233"/>
      <c r="S13" s="1235"/>
      <c r="T13" s="1236" t="s">
        <v>180</v>
      </c>
      <c r="U13" s="1237"/>
      <c r="V13" s="1237"/>
      <c r="W13" s="1237"/>
      <c r="X13" s="1237"/>
      <c r="Y13" s="1237"/>
      <c r="Z13" s="1237"/>
      <c r="AA13" s="1237"/>
      <c r="AB13" s="1237"/>
      <c r="AC13" s="1237"/>
      <c r="AD13" s="1237"/>
      <c r="AE13" s="1237"/>
      <c r="AF13" s="1237"/>
      <c r="AG13" s="1237"/>
      <c r="AH13" s="1237"/>
      <c r="AI13" s="1237"/>
      <c r="AJ13" s="1237"/>
      <c r="AK13" s="1237"/>
      <c r="AL13" s="1237"/>
      <c r="AM13" s="1237"/>
      <c r="AO13" s="717"/>
      <c r="AP13" s="717" t="str">
        <f t="shared" si="0"/>
        <v>Добавить источник для дифференциации</v>
      </c>
      <c r="AQ13" s="717"/>
      <c r="AR13" s="717"/>
      <c r="AS13" s="452">
        <v>0</v>
      </c>
    </row>
    <row r="14" spans="1:45" s="2017" customFormat="1" ht="0.75" hidden="1" customHeight="1">
      <c r="A14" s="1231"/>
      <c r="B14" s="1231"/>
      <c r="C14" s="1231"/>
      <c r="D14" s="1231"/>
      <c r="E14" s="3200"/>
      <c r="F14" s="3199"/>
      <c r="G14" s="1231"/>
      <c r="H14" s="1231"/>
      <c r="I14" s="1231"/>
      <c r="J14" s="1231"/>
      <c r="K14" s="1231"/>
      <c r="L14" s="1256"/>
      <c r="M14" s="1238"/>
      <c r="N14" s="1238"/>
      <c r="P14" s="1233"/>
      <c r="Q14" s="1234"/>
      <c r="R14" s="1233"/>
      <c r="S14" s="1239"/>
      <c r="T14" s="1240" t="s">
        <v>181</v>
      </c>
      <c r="U14" s="1241"/>
      <c r="V14" s="1241"/>
      <c r="W14" s="1241"/>
      <c r="X14" s="1241"/>
      <c r="Y14" s="1241"/>
      <c r="Z14" s="1241"/>
      <c r="AA14" s="1241"/>
      <c r="AB14" s="1241"/>
      <c r="AC14" s="1241"/>
      <c r="AD14" s="1241"/>
      <c r="AE14" s="1241"/>
      <c r="AF14" s="1241"/>
      <c r="AG14" s="1241"/>
      <c r="AH14" s="1241"/>
      <c r="AI14" s="1241"/>
      <c r="AJ14" s="1241"/>
      <c r="AK14" s="1241"/>
      <c r="AL14" s="1241"/>
      <c r="AM14" s="1241"/>
      <c r="AO14" s="717"/>
      <c r="AP14" s="717" t="str">
        <f t="shared" si="0"/>
        <v>Добавить централизованную систему для дифференциации</v>
      </c>
      <c r="AQ14" s="717"/>
      <c r="AR14" s="717"/>
      <c r="AS14" s="452">
        <v>0</v>
      </c>
    </row>
    <row r="15" spans="1:45" s="2017" customFormat="1" ht="0.75" hidden="1" customHeight="1">
      <c r="A15" s="1231"/>
      <c r="B15" s="1231"/>
      <c r="C15" s="1231"/>
      <c r="D15" s="1231"/>
      <c r="E15" s="3199"/>
      <c r="F15" s="1231"/>
      <c r="G15" s="1231"/>
      <c r="H15" s="1231"/>
      <c r="I15" s="1231"/>
      <c r="J15" s="1231"/>
      <c r="K15" s="1231"/>
      <c r="L15" s="1256"/>
      <c r="M15" s="1238"/>
      <c r="N15" s="1238"/>
      <c r="P15" s="1233"/>
      <c r="Q15" s="1234"/>
      <c r="R15" s="1233"/>
      <c r="S15" s="1239"/>
      <c r="T15" s="1242" t="s">
        <v>188</v>
      </c>
      <c r="U15" s="1241"/>
      <c r="V15" s="1241"/>
      <c r="W15" s="1241"/>
      <c r="X15" s="1241"/>
      <c r="Y15" s="1241"/>
      <c r="Z15" s="1241"/>
      <c r="AA15" s="1241"/>
      <c r="AB15" s="1241"/>
      <c r="AC15" s="1241"/>
      <c r="AD15" s="1241"/>
      <c r="AE15" s="1241"/>
      <c r="AF15" s="1241"/>
      <c r="AG15" s="1241"/>
      <c r="AH15" s="1241"/>
      <c r="AI15" s="1241"/>
      <c r="AJ15" s="1241"/>
      <c r="AK15" s="1241"/>
      <c r="AL15" s="1241"/>
      <c r="AM15" s="1241"/>
      <c r="AO15" s="717"/>
      <c r="AP15" s="717" t="str">
        <f t="shared" si="0"/>
        <v>Добавить территорию для дифференциации</v>
      </c>
      <c r="AQ15" s="717"/>
      <c r="AR15" s="717"/>
      <c r="AS15" s="452">
        <v>0</v>
      </c>
    </row>
    <row r="16" spans="1:45" ht="14.25" hidden="1" customHeight="1">
      <c r="AC16" s="262"/>
      <c r="AK16" s="262"/>
      <c r="AS16" s="1072">
        <v>0</v>
      </c>
    </row>
    <row r="17" spans="1:45" ht="14.25" hidden="1" customHeight="1">
      <c r="P17" s="1228"/>
      <c r="AD17" s="1277"/>
      <c r="AE17" s="1277"/>
      <c r="AF17" s="1277"/>
      <c r="AG17" s="1278"/>
      <c r="AH17" s="3204"/>
      <c r="AI17" s="3205" t="s">
        <v>67</v>
      </c>
      <c r="AJ17" s="3204"/>
      <c r="AK17" s="3205" t="s">
        <v>67</v>
      </c>
      <c r="AS17" s="1072">
        <v>0</v>
      </c>
    </row>
    <row r="18" spans="1:45" ht="14.25" hidden="1" customHeight="1">
      <c r="P18" s="1228"/>
      <c r="AD18" s="1277"/>
      <c r="AE18" s="1277"/>
      <c r="AF18" s="1277"/>
      <c r="AG18" s="263" t="str">
        <f>AH17&amp;"-"&amp;AJ17</f>
        <v>-</v>
      </c>
      <c r="AH18" s="3205"/>
      <c r="AI18" s="3205"/>
      <c r="AJ18" s="3205"/>
      <c r="AK18" s="3205"/>
      <c r="AS18" s="1072">
        <v>0</v>
      </c>
    </row>
    <row r="19" spans="1:45" ht="14.25" hidden="1" customHeight="1">
      <c r="P19" s="1228"/>
      <c r="AK19" s="262"/>
      <c r="AS19" s="1072">
        <v>0</v>
      </c>
    </row>
    <row r="20" spans="1:45" s="2016" customFormat="1" ht="22.5" hidden="1" customHeight="1">
      <c r="L20" s="1246"/>
      <c r="M20" s="1279"/>
      <c r="N20" s="1279"/>
      <c r="O20" s="1284" t="s">
        <v>449</v>
      </c>
      <c r="P20" s="1279"/>
      <c r="Q20" s="1288"/>
      <c r="R20" s="1288"/>
      <c r="S20" s="663"/>
      <c r="Z20" s="1284"/>
      <c r="AB20" s="1284"/>
      <c r="AC20" s="1283"/>
      <c r="AH20" s="1284"/>
      <c r="AJ20" s="1284"/>
      <c r="AK20" s="1283"/>
      <c r="AN20" s="445"/>
      <c r="AO20" s="445"/>
      <c r="AP20" s="445"/>
      <c r="AQ20" s="445"/>
      <c r="AR20" s="445"/>
      <c r="AS20" s="1077">
        <v>0</v>
      </c>
    </row>
    <row r="21" spans="1:45" s="2016" customFormat="1" ht="14.25" hidden="1" customHeight="1">
      <c r="L21" s="1246"/>
      <c r="M21" s="1279"/>
      <c r="N21" s="1279"/>
      <c r="O21" s="1279"/>
      <c r="P21" s="1279"/>
      <c r="Q21" s="1288"/>
      <c r="R21" s="1288"/>
      <c r="S21" s="663"/>
      <c r="AC21" s="1283"/>
      <c r="AK21" s="1283"/>
      <c r="AN21" s="445"/>
      <c r="AO21" s="445"/>
      <c r="AP21" s="445"/>
      <c r="AQ21" s="445"/>
      <c r="AR21" s="445"/>
      <c r="AS21" s="1077">
        <v>0</v>
      </c>
    </row>
    <row r="22" spans="1:45" s="2016" customFormat="1" ht="14.25" hidden="1" customHeight="1">
      <c r="L22" s="1246"/>
      <c r="M22" s="1279"/>
      <c r="N22" s="1279"/>
      <c r="O22" s="1281" t="s">
        <v>450</v>
      </c>
      <c r="P22" s="1279"/>
      <c r="Q22" s="1288"/>
      <c r="R22" s="1288"/>
      <c r="S22" s="663"/>
      <c r="T22" s="1077" t="s">
        <v>451</v>
      </c>
      <c r="AA22" s="121" t="s">
        <v>452</v>
      </c>
      <c r="AC22" s="121" t="s">
        <v>453</v>
      </c>
      <c r="AD22" s="1077" t="s">
        <v>451</v>
      </c>
      <c r="AI22" s="121" t="s">
        <v>454</v>
      </c>
      <c r="AK22" s="121" t="s">
        <v>453</v>
      </c>
      <c r="AN22" s="445"/>
      <c r="AO22" s="445"/>
      <c r="AP22" s="445"/>
      <c r="AQ22" s="445"/>
      <c r="AR22" s="445"/>
      <c r="AS22" s="1077">
        <v>0</v>
      </c>
    </row>
    <row r="23" spans="1:45" ht="14.25" hidden="1" customHeight="1">
      <c r="O23" s="1281"/>
      <c r="P23" s="1228"/>
      <c r="AS23" s="1072">
        <v>0</v>
      </c>
    </row>
    <row r="24" spans="1:45" ht="14.25" hidden="1" customHeight="1">
      <c r="O24" s="1281"/>
      <c r="P24" s="1228"/>
      <c r="AS24" s="1072">
        <v>0</v>
      </c>
    </row>
    <row r="25" spans="1:45" ht="14.65" customHeight="1">
      <c r="Q25" s="310"/>
      <c r="R25" s="310"/>
      <c r="S25" s="1192"/>
      <c r="T25" s="297"/>
      <c r="U25" s="297"/>
      <c r="V25" s="443"/>
      <c r="W25" s="443"/>
      <c r="X25" s="443"/>
      <c r="Y25" s="443"/>
      <c r="Z25" s="443"/>
      <c r="AA25" s="443"/>
      <c r="AB25" s="443"/>
      <c r="AC25" s="443"/>
      <c r="AD25" s="443"/>
      <c r="AE25" s="443"/>
      <c r="AF25" s="443"/>
      <c r="AG25" s="443"/>
      <c r="AH25" s="443"/>
      <c r="AI25" s="443"/>
      <c r="AJ25" s="443"/>
      <c r="AK25" s="443"/>
      <c r="AS25" s="1072">
        <v>14</v>
      </c>
    </row>
    <row r="26" spans="1:45" ht="14.65" customHeight="1">
      <c r="Q26" s="310"/>
      <c r="R26" s="310"/>
      <c r="S26" s="3183"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3183"/>
      <c r="U26" s="3183"/>
      <c r="V26" s="3183"/>
      <c r="W26" s="3183"/>
      <c r="X26" s="3183"/>
      <c r="Y26" s="3183"/>
      <c r="Z26" s="3183"/>
      <c r="AA26" s="3183"/>
      <c r="AB26" s="3183"/>
      <c r="AC26" s="3183"/>
      <c r="AD26" s="3183"/>
      <c r="AE26" s="3183"/>
      <c r="AF26" s="3183"/>
      <c r="AG26" s="3183"/>
      <c r="AH26" s="3183"/>
      <c r="AI26" s="3183"/>
      <c r="AJ26" s="3183"/>
      <c r="AK26" s="1160"/>
      <c r="AS26" s="1072">
        <v>14</v>
      </c>
    </row>
    <row r="27" spans="1:45" ht="14.65" customHeight="1">
      <c r="Q27" s="310"/>
      <c r="R27" s="310"/>
      <c r="S27" s="3131" t="str">
        <f>IF(org=0,"Не определено",org)</f>
        <v>ООО "РСО"</v>
      </c>
      <c r="T27" s="3131"/>
      <c r="U27" s="3131"/>
      <c r="V27" s="3131"/>
      <c r="W27" s="3131"/>
      <c r="X27" s="3131"/>
      <c r="Y27" s="3131"/>
      <c r="Z27" s="3131"/>
      <c r="AA27" s="3131"/>
      <c r="AB27" s="3131"/>
      <c r="AC27" s="3131"/>
      <c r="AD27" s="3131"/>
      <c r="AE27" s="3131"/>
      <c r="AF27" s="3131"/>
      <c r="AG27" s="3131"/>
      <c r="AH27" s="3131"/>
      <c r="AI27" s="3131"/>
      <c r="AJ27" s="3131"/>
      <c r="AK27" s="1160"/>
      <c r="AS27" s="1072">
        <v>14</v>
      </c>
    </row>
    <row r="28" spans="1:45" ht="14.25" hidden="1" customHeight="1">
      <c r="Q28" s="310"/>
      <c r="R28" s="310"/>
      <c r="S28" s="1192"/>
      <c r="T28" s="297"/>
      <c r="U28" s="297"/>
      <c r="V28" s="257"/>
      <c r="W28" s="257"/>
      <c r="X28" s="257"/>
      <c r="Y28" s="257"/>
      <c r="Z28" s="257"/>
      <c r="AA28" s="257"/>
      <c r="AB28" s="257"/>
      <c r="AC28" s="257"/>
      <c r="AD28" s="257"/>
      <c r="AE28" s="257"/>
      <c r="AF28" s="257"/>
      <c r="AG28" s="257"/>
      <c r="AH28" s="257"/>
      <c r="AI28" s="257"/>
      <c r="AJ28" s="257"/>
      <c r="AK28" s="257"/>
      <c r="AL28" s="443"/>
      <c r="AS28" s="1072">
        <v>0</v>
      </c>
    </row>
    <row r="29" spans="1:45" s="2028" customFormat="1" ht="25.5" hidden="1" customHeight="1">
      <c r="A29" s="1285"/>
      <c r="B29" s="1285"/>
      <c r="C29" s="1285"/>
      <c r="D29" s="1285"/>
      <c r="E29" s="1285"/>
      <c r="F29" s="1285"/>
      <c r="G29" s="1285"/>
      <c r="H29" s="1285"/>
      <c r="I29" s="1285"/>
      <c r="J29" s="1285"/>
      <c r="K29" s="1285"/>
      <c r="L29" s="1286"/>
      <c r="M29" s="1285"/>
      <c r="N29" s="1285"/>
      <c r="O29" s="1285"/>
      <c r="S29" s="3191" t="s">
        <v>42</v>
      </c>
      <c r="T29" s="3191"/>
      <c r="U29" s="1289"/>
      <c r="V29" s="3192" t="str">
        <f>IF(TITLE_NAME_OR_PR_CHANGE="",IF(TITLE_NAME_OR_PR="","",TITLE_NAME_OR_PR),TITLE_NAME_OR_PR_CHANGE)</f>
        <v/>
      </c>
      <c r="W29" s="3192"/>
      <c r="X29" s="3192"/>
      <c r="Y29" s="3192"/>
      <c r="Z29" s="3192"/>
      <c r="AA29" s="3192"/>
      <c r="AB29" s="3192"/>
      <c r="AC29" s="261"/>
      <c r="AD29" s="3192" t="str">
        <f>IF(TITLE_NAME_OR_PR_CHANGE="",IF(TITLE_NAME_OR_PR="","",TITLE_NAME_OR_PR),TITLE_NAME_OR_PR_CHANGE)</f>
        <v/>
      </c>
      <c r="AE29" s="3192"/>
      <c r="AF29" s="3192"/>
      <c r="AG29" s="3192"/>
      <c r="AH29" s="3192"/>
      <c r="AI29" s="3192"/>
      <c r="AJ29" s="3192"/>
      <c r="AK29" s="261"/>
      <c r="AL29" s="261"/>
      <c r="AM29" s="215"/>
      <c r="AN29" s="302"/>
      <c r="AO29" s="302"/>
      <c r="AP29" s="302"/>
      <c r="AQ29" s="302"/>
      <c r="AR29" s="302"/>
      <c r="AS29" s="352">
        <v>0</v>
      </c>
    </row>
    <row r="30" spans="1:45" s="2028" customFormat="1" ht="18.75" hidden="1" customHeight="1">
      <c r="A30" s="1285"/>
      <c r="B30" s="1285"/>
      <c r="C30" s="1285"/>
      <c r="D30" s="1285"/>
      <c r="E30" s="1285"/>
      <c r="F30" s="1285"/>
      <c r="G30" s="1285"/>
      <c r="H30" s="1285"/>
      <c r="I30" s="1285"/>
      <c r="J30" s="1285"/>
      <c r="K30" s="1285"/>
      <c r="L30" s="1286"/>
      <c r="M30" s="1285"/>
      <c r="N30" s="1285"/>
      <c r="O30" s="1285"/>
      <c r="S30" s="3191" t="s">
        <v>455</v>
      </c>
      <c r="T30" s="3191"/>
      <c r="U30" s="1289"/>
      <c r="V30" s="3201">
        <f>IF(TITLE_DATE_PR_CHANGE="",IF(TITLE_DATE_PR="","",TITLE_DATE_PR),TITLE_DATE_PR_CHANGE)</f>
        <v>45408</v>
      </c>
      <c r="W30" s="3201"/>
      <c r="X30" s="3201"/>
      <c r="Y30" s="3201"/>
      <c r="Z30" s="3201"/>
      <c r="AA30" s="3201"/>
      <c r="AB30" s="3201"/>
      <c r="AC30" s="261"/>
      <c r="AD30" s="3201">
        <f>IF(TITLE_DATE_PR_CHANGE="",IF(TITLE_DATE_PR="","",TITLE_DATE_PR),TITLE_DATE_PR_CHANGE)</f>
        <v>45408</v>
      </c>
      <c r="AE30" s="3201"/>
      <c r="AF30" s="3201"/>
      <c r="AG30" s="3201"/>
      <c r="AH30" s="3201"/>
      <c r="AI30" s="3201"/>
      <c r="AJ30" s="3201"/>
      <c r="AK30" s="261"/>
      <c r="AL30" s="261"/>
      <c r="AM30" s="215"/>
      <c r="AN30" s="302"/>
      <c r="AO30" s="302"/>
      <c r="AP30" s="302"/>
      <c r="AQ30" s="302"/>
      <c r="AR30" s="302"/>
      <c r="AS30" s="352">
        <v>0</v>
      </c>
    </row>
    <row r="31" spans="1:45" s="2028" customFormat="1" ht="18.75" hidden="1" customHeight="1">
      <c r="A31" s="1285"/>
      <c r="B31" s="1285"/>
      <c r="C31" s="1285"/>
      <c r="D31" s="1285"/>
      <c r="E31" s="1285"/>
      <c r="F31" s="1285"/>
      <c r="G31" s="1285"/>
      <c r="H31" s="1285"/>
      <c r="I31" s="1285"/>
      <c r="J31" s="1285"/>
      <c r="K31" s="1285"/>
      <c r="L31" s="1286"/>
      <c r="M31" s="1285"/>
      <c r="N31" s="1285"/>
      <c r="O31" s="1285"/>
      <c r="S31" s="3191" t="s">
        <v>456</v>
      </c>
      <c r="T31" s="3191"/>
      <c r="U31" s="1289"/>
      <c r="V31" s="3192" t="str">
        <f>IF(TITLE_NUMBER_PR_CHANGE="",IF(TITLE_NUMBER_PR="","",TITLE_NUMBER_PR),TITLE_NUMBER_PR_CHANGE)</f>
        <v>04-24/132, 04-24/131</v>
      </c>
      <c r="W31" s="3192"/>
      <c r="X31" s="3192"/>
      <c r="Y31" s="3192"/>
      <c r="Z31" s="3192"/>
      <c r="AA31" s="3192"/>
      <c r="AB31" s="3192"/>
      <c r="AC31" s="261"/>
      <c r="AD31" s="3192" t="str">
        <f>IF(TITLE_NUMBER_PR_CHANGE="",IF(TITLE_NUMBER_PR="","",TITLE_NUMBER_PR),TITLE_NUMBER_PR_CHANGE)</f>
        <v>04-24/132, 04-24/131</v>
      </c>
      <c r="AE31" s="3192"/>
      <c r="AF31" s="3192"/>
      <c r="AG31" s="3192"/>
      <c r="AH31" s="3192"/>
      <c r="AI31" s="3192"/>
      <c r="AJ31" s="3192"/>
      <c r="AK31" s="261"/>
      <c r="AL31" s="261"/>
      <c r="AM31" s="215"/>
      <c r="AN31" s="302"/>
      <c r="AO31" s="302"/>
      <c r="AP31" s="302"/>
      <c r="AQ31" s="302"/>
      <c r="AR31" s="302"/>
      <c r="AS31" s="352">
        <v>0</v>
      </c>
    </row>
    <row r="32" spans="1:45" s="2028" customFormat="1" ht="18.75" hidden="1" customHeight="1">
      <c r="A32" s="1285"/>
      <c r="B32" s="1285"/>
      <c r="C32" s="1285"/>
      <c r="D32" s="1285"/>
      <c r="E32" s="1285"/>
      <c r="F32" s="1285"/>
      <c r="G32" s="1285"/>
      <c r="H32" s="1285"/>
      <c r="I32" s="1285"/>
      <c r="J32" s="1285"/>
      <c r="K32" s="1285"/>
      <c r="L32" s="1286"/>
      <c r="M32" s="1285"/>
      <c r="N32" s="1285"/>
      <c r="O32" s="1285"/>
      <c r="S32" s="3191" t="s">
        <v>43</v>
      </c>
      <c r="T32" s="3191"/>
      <c r="U32" s="1289"/>
      <c r="V32" s="3192" t="str">
        <f>IF(TITLE_IST_PUB_CHANGE="",IF(TITLE_IST_PUB="","",TITLE_IST_PUB),TITLE_IST_PUB_CHANGE)</f>
        <v/>
      </c>
      <c r="W32" s="3192"/>
      <c r="X32" s="3192"/>
      <c r="Y32" s="3192"/>
      <c r="Z32" s="3192"/>
      <c r="AA32" s="3192"/>
      <c r="AB32" s="3192"/>
      <c r="AC32" s="261"/>
      <c r="AD32" s="3192" t="str">
        <f>IF(TITLE_IST_PUB_CHANGE="",IF(TITLE_IST_PUB="","",TITLE_IST_PUB),TITLE_IST_PUB_CHANGE)</f>
        <v/>
      </c>
      <c r="AE32" s="3192"/>
      <c r="AF32" s="3192"/>
      <c r="AG32" s="3192"/>
      <c r="AH32" s="3192"/>
      <c r="AI32" s="3192"/>
      <c r="AJ32" s="3192"/>
      <c r="AK32" s="261"/>
      <c r="AL32" s="261"/>
      <c r="AM32" s="215"/>
      <c r="AN32" s="302"/>
      <c r="AO32" s="302"/>
      <c r="AP32" s="302"/>
      <c r="AQ32" s="302"/>
      <c r="AR32" s="302"/>
      <c r="AS32" s="352">
        <v>0</v>
      </c>
    </row>
    <row r="33" spans="1:45" ht="14.25" customHeight="1">
      <c r="P33" s="1245"/>
      <c r="Q33" s="310"/>
      <c r="R33" s="310"/>
      <c r="S33" s="1192"/>
      <c r="T33" s="297"/>
      <c r="U33" s="297"/>
      <c r="V33" s="257"/>
      <c r="W33" s="257"/>
      <c r="X33" s="257"/>
      <c r="Y33" s="257"/>
      <c r="Z33" s="257"/>
      <c r="AA33" s="257"/>
      <c r="AB33" s="257"/>
      <c r="AC33" s="257"/>
      <c r="AD33" s="257"/>
      <c r="AE33" s="257"/>
      <c r="AF33" s="257"/>
      <c r="AG33" s="257"/>
      <c r="AH33" s="257"/>
      <c r="AI33" s="257"/>
      <c r="AJ33" s="257"/>
      <c r="AK33" s="257"/>
      <c r="AL33" s="443"/>
      <c r="AS33" s="1072">
        <v>0</v>
      </c>
    </row>
    <row r="34" spans="1:45" s="2028" customFormat="1" ht="18.75" customHeight="1">
      <c r="A34" s="1285"/>
      <c r="B34" s="1285"/>
      <c r="C34" s="1285"/>
      <c r="D34" s="1285"/>
      <c r="E34" s="1285"/>
      <c r="F34" s="1285"/>
      <c r="G34" s="1285"/>
      <c r="H34" s="1285"/>
      <c r="I34" s="1285"/>
      <c r="J34" s="1285"/>
      <c r="K34" s="1285"/>
      <c r="L34" s="1286"/>
      <c r="M34" s="1285"/>
      <c r="N34" s="1285"/>
      <c r="O34" s="1285"/>
      <c r="S34" s="3191" t="s">
        <v>457</v>
      </c>
      <c r="T34" s="3191"/>
      <c r="U34" s="1289"/>
      <c r="V34" s="3201">
        <f>IF(TITLE_DATE_PR_CHANGE="",IF(TITLE_DATE_PR="","",TITLE_DATE_PR),TITLE_DATE_PR_CHANGE)</f>
        <v>45408</v>
      </c>
      <c r="W34" s="3201"/>
      <c r="X34" s="3201"/>
      <c r="Y34" s="3201"/>
      <c r="Z34" s="3201"/>
      <c r="AA34" s="3201"/>
      <c r="AB34" s="3201"/>
      <c r="AC34" s="261"/>
      <c r="AD34" s="3201">
        <f>IF(TITLE_DATE_PR_CHANGE="",IF(TITLE_DATE_PR="","",TITLE_DATE_PR),TITLE_DATE_PR_CHANGE)</f>
        <v>45408</v>
      </c>
      <c r="AE34" s="3201"/>
      <c r="AF34" s="3201"/>
      <c r="AG34" s="3201"/>
      <c r="AH34" s="3201"/>
      <c r="AI34" s="3201"/>
      <c r="AJ34" s="3201"/>
      <c r="AK34" s="261"/>
      <c r="AL34" s="261"/>
      <c r="AM34" s="215"/>
      <c r="AN34" s="302"/>
      <c r="AO34" s="302"/>
      <c r="AP34" s="302"/>
      <c r="AQ34" s="302"/>
      <c r="AR34" s="302"/>
      <c r="AS34" s="352">
        <v>0</v>
      </c>
    </row>
    <row r="35" spans="1:45" s="2028" customFormat="1" ht="18.75" customHeight="1">
      <c r="A35" s="1285"/>
      <c r="B35" s="1285"/>
      <c r="C35" s="1285"/>
      <c r="D35" s="1285"/>
      <c r="E35" s="1285"/>
      <c r="F35" s="1285"/>
      <c r="G35" s="1285"/>
      <c r="H35" s="1285"/>
      <c r="I35" s="1285"/>
      <c r="J35" s="1285"/>
      <c r="K35" s="1285"/>
      <c r="L35" s="1286"/>
      <c r="M35" s="1285"/>
      <c r="N35" s="1285"/>
      <c r="O35" s="1285"/>
      <c r="S35" s="3191" t="s">
        <v>458</v>
      </c>
      <c r="T35" s="3191"/>
      <c r="U35" s="1289"/>
      <c r="V35" s="3192" t="str">
        <f>IF(TITLE_NUMBER_PR_CHANGE="",IF(TITLE_NUMBER_PR="","",TITLE_NUMBER_PR),TITLE_NUMBER_PR_CHANGE)</f>
        <v>04-24/132, 04-24/131</v>
      </c>
      <c r="W35" s="3192"/>
      <c r="X35" s="3192"/>
      <c r="Y35" s="3192"/>
      <c r="Z35" s="3192"/>
      <c r="AA35" s="3192"/>
      <c r="AB35" s="3192"/>
      <c r="AC35" s="261"/>
      <c r="AD35" s="3192" t="str">
        <f>IF(TITLE_NUMBER_PR_CHANGE="",IF(TITLE_NUMBER_PR="","",TITLE_NUMBER_PR),TITLE_NUMBER_PR_CHANGE)</f>
        <v>04-24/132, 04-24/131</v>
      </c>
      <c r="AE35" s="3192"/>
      <c r="AF35" s="3192"/>
      <c r="AG35" s="3192"/>
      <c r="AH35" s="3192"/>
      <c r="AI35" s="3192"/>
      <c r="AJ35" s="3192"/>
      <c r="AK35" s="261"/>
      <c r="AL35" s="261"/>
      <c r="AM35" s="215"/>
      <c r="AN35" s="302"/>
      <c r="AO35" s="302"/>
      <c r="AP35" s="302"/>
      <c r="AQ35" s="302"/>
      <c r="AR35" s="302"/>
      <c r="AS35" s="352">
        <v>0</v>
      </c>
    </row>
    <row r="36" spans="1:45" s="2028" customFormat="1" ht="0" hidden="1" customHeight="1">
      <c r="A36" s="1285"/>
      <c r="B36" s="1285"/>
      <c r="C36" s="1285"/>
      <c r="D36" s="1285"/>
      <c r="E36" s="1285"/>
      <c r="F36" s="1285"/>
      <c r="G36" s="1285"/>
      <c r="H36" s="1285"/>
      <c r="I36" s="1285"/>
      <c r="J36" s="1285"/>
      <c r="K36" s="1285"/>
      <c r="L36" s="1286"/>
      <c r="M36" s="1285"/>
      <c r="N36" s="1285"/>
      <c r="O36" s="1285"/>
      <c r="S36" s="258"/>
      <c r="T36" s="258"/>
      <c r="U36" s="1136"/>
      <c r="V36" s="261"/>
      <c r="W36" s="261"/>
      <c r="X36" s="261"/>
      <c r="Y36" s="261"/>
      <c r="Z36" s="261"/>
      <c r="AA36" s="261"/>
      <c r="AB36" s="261"/>
      <c r="AC36" s="213" t="s">
        <v>459</v>
      </c>
      <c r="AD36" s="261"/>
      <c r="AE36" s="261"/>
      <c r="AF36" s="261"/>
      <c r="AG36" s="261"/>
      <c r="AH36" s="261"/>
      <c r="AI36" s="261"/>
      <c r="AJ36" s="261"/>
      <c r="AK36" s="213" t="s">
        <v>459</v>
      </c>
      <c r="AN36" s="302"/>
      <c r="AO36" s="302"/>
      <c r="AP36" s="302"/>
      <c r="AQ36" s="302"/>
      <c r="AR36" s="302"/>
      <c r="AS36" s="352">
        <v>0</v>
      </c>
    </row>
    <row r="37" spans="1:45" ht="14.65" customHeight="1">
      <c r="Q37" s="310"/>
      <c r="R37" s="310"/>
      <c r="S37" s="1192"/>
      <c r="T37" s="297"/>
      <c r="U37" s="1161"/>
      <c r="V37" s="3193"/>
      <c r="W37" s="3193"/>
      <c r="X37" s="3193"/>
      <c r="Y37" s="3193"/>
      <c r="Z37" s="3193"/>
      <c r="AA37" s="3193"/>
      <c r="AB37" s="3193"/>
      <c r="AC37" s="3193"/>
      <c r="AD37" s="3193"/>
      <c r="AE37" s="3193"/>
      <c r="AF37" s="3193"/>
      <c r="AG37" s="3193"/>
      <c r="AH37" s="3193"/>
      <c r="AI37" s="3193"/>
      <c r="AJ37" s="3193"/>
      <c r="AK37" s="3193"/>
      <c r="AS37" s="1072">
        <v>14</v>
      </c>
    </row>
    <row r="38" spans="1:45" ht="14.65" customHeight="1">
      <c r="Q38" s="310"/>
      <c r="R38" s="310"/>
      <c r="S38" s="3067" t="s">
        <v>335</v>
      </c>
      <c r="T38" s="3067"/>
      <c r="U38" s="3067"/>
      <c r="V38" s="3067"/>
      <c r="W38" s="3067"/>
      <c r="X38" s="3067"/>
      <c r="Y38" s="3067"/>
      <c r="Z38" s="3067"/>
      <c r="AA38" s="3067"/>
      <c r="AB38" s="3067"/>
      <c r="AC38" s="3067"/>
      <c r="AD38" s="3067"/>
      <c r="AE38" s="3067"/>
      <c r="AF38" s="3067"/>
      <c r="AG38" s="3067"/>
      <c r="AH38" s="3067"/>
      <c r="AI38" s="3067"/>
      <c r="AJ38" s="3067"/>
      <c r="AK38" s="3067"/>
      <c r="AL38" s="3067"/>
      <c r="AM38" s="3067" t="s">
        <v>336</v>
      </c>
      <c r="AS38" s="1072">
        <v>14</v>
      </c>
    </row>
    <row r="39" spans="1:45" ht="14.65" customHeight="1">
      <c r="Q39" s="310"/>
      <c r="R39" s="310"/>
      <c r="S39" s="3207" t="s">
        <v>89</v>
      </c>
      <c r="T39" s="3159" t="s">
        <v>460</v>
      </c>
      <c r="U39" s="236"/>
      <c r="V39" s="3208" t="s">
        <v>461</v>
      </c>
      <c r="W39" s="3209"/>
      <c r="X39" s="3209"/>
      <c r="Y39" s="3209"/>
      <c r="Z39" s="3209"/>
      <c r="AA39" s="3209"/>
      <c r="AB39" s="3210"/>
      <c r="AC39" s="3211" t="s">
        <v>462</v>
      </c>
      <c r="AD39" s="3208" t="s">
        <v>461</v>
      </c>
      <c r="AE39" s="3209"/>
      <c r="AF39" s="3209"/>
      <c r="AG39" s="3209"/>
      <c r="AH39" s="3209"/>
      <c r="AI39" s="3209"/>
      <c r="AJ39" s="3210"/>
      <c r="AK39" s="3211" t="s">
        <v>463</v>
      </c>
      <c r="AL39" s="3214" t="s">
        <v>464</v>
      </c>
      <c r="AM39" s="3067"/>
      <c r="AS39" s="1072">
        <v>14</v>
      </c>
    </row>
    <row r="40" spans="1:45" ht="35.65" customHeight="1">
      <c r="Q40" s="310"/>
      <c r="R40" s="310"/>
      <c r="S40" s="3207"/>
      <c r="T40" s="3159"/>
      <c r="U40" s="952"/>
      <c r="V40" s="3130" t="s">
        <v>465</v>
      </c>
      <c r="W40" s="3217" t="s">
        <v>466</v>
      </c>
      <c r="X40" s="3038" t="s">
        <v>467</v>
      </c>
      <c r="Y40" s="3037"/>
      <c r="Z40" s="3038" t="s">
        <v>468</v>
      </c>
      <c r="AA40" s="3044"/>
      <c r="AB40" s="3037"/>
      <c r="AC40" s="3212"/>
      <c r="AD40" s="3130" t="s">
        <v>465</v>
      </c>
      <c r="AE40" s="3217" t="s">
        <v>466</v>
      </c>
      <c r="AF40" s="3038" t="s">
        <v>467</v>
      </c>
      <c r="AG40" s="3037"/>
      <c r="AH40" s="3038" t="s">
        <v>468</v>
      </c>
      <c r="AI40" s="3044"/>
      <c r="AJ40" s="3037"/>
      <c r="AK40" s="3212"/>
      <c r="AL40" s="3215"/>
      <c r="AM40" s="3067"/>
      <c r="AS40" s="1072">
        <v>34</v>
      </c>
    </row>
    <row r="41" spans="1:45" ht="35.65" customHeight="1">
      <c r="A41" s="1287"/>
      <c r="B41" s="1287" t="s">
        <v>149</v>
      </c>
      <c r="C41" s="1287" t="s">
        <v>150</v>
      </c>
      <c r="D41" s="1287" t="s">
        <v>151</v>
      </c>
      <c r="E41" s="1281" t="s">
        <v>469</v>
      </c>
      <c r="F41" s="1281" t="s">
        <v>470</v>
      </c>
      <c r="G41" s="1281" t="s">
        <v>471</v>
      </c>
      <c r="H41" s="1281" t="s">
        <v>472</v>
      </c>
      <c r="I41" s="1281" t="s">
        <v>473</v>
      </c>
      <c r="J41" s="1281" t="s">
        <v>474</v>
      </c>
      <c r="K41" s="1281" t="s">
        <v>475</v>
      </c>
      <c r="L41" s="1281" t="s">
        <v>450</v>
      </c>
      <c r="Q41" s="310"/>
      <c r="R41" s="310"/>
      <c r="S41" s="3207"/>
      <c r="T41" s="3159"/>
      <c r="U41" s="237"/>
      <c r="V41" s="3178"/>
      <c r="W41" s="3218"/>
      <c r="X41" s="1139" t="s">
        <v>476</v>
      </c>
      <c r="Y41" s="1139" t="s">
        <v>477</v>
      </c>
      <c r="Z41" s="1138" t="s">
        <v>478</v>
      </c>
      <c r="AA41" s="3167" t="s">
        <v>479</v>
      </c>
      <c r="AB41" s="3169"/>
      <c r="AC41" s="3213"/>
      <c r="AD41" s="3178"/>
      <c r="AE41" s="3218"/>
      <c r="AF41" s="1139" t="s">
        <v>476</v>
      </c>
      <c r="AG41" s="1139" t="s">
        <v>477</v>
      </c>
      <c r="AH41" s="1230" t="s">
        <v>478</v>
      </c>
      <c r="AI41" s="3167" t="s">
        <v>479</v>
      </c>
      <c r="AJ41" s="3169"/>
      <c r="AK41" s="3213"/>
      <c r="AL41" s="3216"/>
      <c r="AM41" s="3067"/>
      <c r="AS41" s="1072">
        <v>34</v>
      </c>
    </row>
    <row r="42" spans="1:45" s="2212" customFormat="1" ht="11.25" hidden="1" customHeight="1">
      <c r="A42" s="1287"/>
      <c r="B42" s="1287"/>
      <c r="C42" s="1287"/>
      <c r="D42" s="1287"/>
      <c r="E42" s="1287"/>
      <c r="F42" s="1287"/>
      <c r="G42" s="1287"/>
      <c r="H42" s="1287"/>
      <c r="I42" s="1287"/>
      <c r="J42" s="1287"/>
      <c r="K42" s="1287"/>
      <c r="L42" s="1281"/>
      <c r="M42" s="1279"/>
      <c r="N42" s="1279"/>
      <c r="O42" s="1279"/>
      <c r="P42" s="1163"/>
      <c r="Q42" s="1164"/>
      <c r="R42" s="1171">
        <v>1</v>
      </c>
      <c r="S42" s="1194" t="s">
        <v>124</v>
      </c>
      <c r="T42" s="1172" t="s">
        <v>104</v>
      </c>
      <c r="U42" s="1162" t="str">
        <f ca="1">OFFSET(U42,0,-1)</f>
        <v>2</v>
      </c>
      <c r="V42" s="1173">
        <f ca="1">OFFSET(V42,0,-1)+1</f>
        <v>3</v>
      </c>
      <c r="W42" s="1173"/>
      <c r="X42" s="1173">
        <f ca="1">OFFSET(X42,0,-1)+1</f>
        <v>1</v>
      </c>
      <c r="Y42" s="1173">
        <f ca="1">OFFSET(Y42,0,-1)+1</f>
        <v>2</v>
      </c>
      <c r="Z42" s="1173">
        <f ca="1">OFFSET(Z42,0,-1)+1</f>
        <v>3</v>
      </c>
      <c r="AA42" s="3206">
        <f ca="1">OFFSET(AA42,0,-1)+1</f>
        <v>4</v>
      </c>
      <c r="AB42" s="3206"/>
      <c r="AC42" s="1173">
        <f ca="1">OFFSET(AC42,0,-2)+1</f>
        <v>5</v>
      </c>
      <c r="AD42" s="1229">
        <f ca="1">OFFSET(AD42,0,-1)+1</f>
        <v>6</v>
      </c>
      <c r="AE42" s="1229"/>
      <c r="AF42" s="1229">
        <f ca="1">OFFSET(AF42,0,-1)+1</f>
        <v>1</v>
      </c>
      <c r="AG42" s="1229">
        <f ca="1">OFFSET(AG42,0,-1)+1</f>
        <v>2</v>
      </c>
      <c r="AH42" s="1229">
        <f ca="1">OFFSET(AH42,0,-1)+1</f>
        <v>3</v>
      </c>
      <c r="AI42" s="3206">
        <f ca="1">OFFSET(AI42,0,-1)+1</f>
        <v>4</v>
      </c>
      <c r="AJ42" s="3206"/>
      <c r="AK42" s="1229">
        <f ca="1">OFFSET(AK42,0,-2)+1</f>
        <v>5</v>
      </c>
      <c r="AL42" s="1162">
        <f ca="1">OFFSET(AL42,0,-1)</f>
        <v>5</v>
      </c>
      <c r="AM42" s="1173">
        <f ca="1">OFFSET(AM42,0,-1)+1</f>
        <v>6</v>
      </c>
      <c r="AN42" s="445"/>
      <c r="AO42" s="445"/>
      <c r="AP42" s="445"/>
      <c r="AQ42" s="445"/>
      <c r="AR42" s="445"/>
      <c r="AS42" s="430">
        <v>0</v>
      </c>
    </row>
    <row r="43" spans="1:45" ht="24" customHeight="1">
      <c r="A43" s="1280" t="s">
        <v>169</v>
      </c>
      <c r="B43" s="1280"/>
      <c r="C43" s="1280"/>
      <c r="D43" s="1280"/>
      <c r="E43" s="3199">
        <v>1</v>
      </c>
      <c r="F43" s="1280"/>
      <c r="G43" s="1280"/>
      <c r="H43" s="1280"/>
      <c r="I43" s="1280"/>
      <c r="J43" s="1280"/>
      <c r="K43" s="1280"/>
      <c r="L43" s="1281"/>
      <c r="M43" s="1282"/>
      <c r="N43" s="1282"/>
      <c r="O43" s="1282"/>
      <c r="P43" s="295"/>
      <c r="Q43" s="294"/>
      <c r="R43" s="289"/>
      <c r="S43" s="1141">
        <f>INDEX(PT_DIFFERENTIATION_NUM_NTAR,MATCH(A43,PT_DIFFERENTIATION_NTAR_ID,0))</f>
        <v>0</v>
      </c>
      <c r="T43" s="233" t="s">
        <v>137</v>
      </c>
      <c r="U43" s="235"/>
      <c r="V43" s="3185"/>
      <c r="W43" s="3186"/>
      <c r="X43" s="3186"/>
      <c r="Y43" s="3186"/>
      <c r="Z43" s="3186"/>
      <c r="AA43" s="3186"/>
      <c r="AB43" s="3186"/>
      <c r="AC43" s="3187"/>
      <c r="AD43" s="3185" t="str">
        <f>INDEX(PT_DIFFERENTIATION_NTAR,MATCH(A43,PT_DIFFERENTIATION_NTAR_ID,0))</f>
        <v/>
      </c>
      <c r="AE43" s="3186"/>
      <c r="AF43" s="3186"/>
      <c r="AG43" s="3186"/>
      <c r="AH43" s="3186"/>
      <c r="AI43" s="3186"/>
      <c r="AJ43" s="3186"/>
      <c r="AK43" s="3186"/>
      <c r="AL43" s="3187"/>
      <c r="AM43" s="117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4"/>
      <c r="AP43" s="434" t="str">
        <f t="shared" ref="AP43:AP57" si="1">IF(T43="","",T43)</f>
        <v>Наименование тарифа</v>
      </c>
      <c r="AQ43" s="434"/>
      <c r="AR43" s="434"/>
      <c r="AS43" s="1072">
        <v>23</v>
      </c>
    </row>
    <row r="44" spans="1:45" ht="24" customHeight="1">
      <c r="A44" s="1280" t="s">
        <v>169</v>
      </c>
      <c r="B44" s="1280" t="s">
        <v>170</v>
      </c>
      <c r="C44" s="1280"/>
      <c r="D44" s="1280"/>
      <c r="E44" s="3200"/>
      <c r="F44" s="3199">
        <v>1</v>
      </c>
      <c r="G44" s="1280"/>
      <c r="H44" s="1280"/>
      <c r="I44" s="1280"/>
      <c r="J44" s="1280"/>
      <c r="K44" s="1280"/>
      <c r="L44" s="1281"/>
      <c r="M44" s="1282"/>
      <c r="N44" s="1282"/>
      <c r="O44" s="1282"/>
      <c r="P44" s="456"/>
      <c r="Q44" s="286"/>
      <c r="R44" s="287"/>
      <c r="S44" s="1141" t="str">
        <f>INDEX(PT_DIFFERENTIATION_NUM_TER,MATCH(B44,PT_DIFFERENTIATION_TER_ID,0))</f>
        <v>.</v>
      </c>
      <c r="T44" s="243" t="s">
        <v>432</v>
      </c>
      <c r="U44" s="235"/>
      <c r="V44" s="3185"/>
      <c r="W44" s="3186"/>
      <c r="X44" s="3186"/>
      <c r="Y44" s="3186"/>
      <c r="Z44" s="3186"/>
      <c r="AA44" s="3186"/>
      <c r="AB44" s="3186"/>
      <c r="AC44" s="3187"/>
      <c r="AD44" s="3185" t="str">
        <f>INDEX(PT_DIFFERENTIATION_TER,MATCH(B44,PT_DIFFERENTIATION_TER_ID,0))</f>
        <v/>
      </c>
      <c r="AE44" s="3186"/>
      <c r="AF44" s="3186"/>
      <c r="AG44" s="3186"/>
      <c r="AH44" s="3186"/>
      <c r="AI44" s="3186"/>
      <c r="AJ44" s="3186"/>
      <c r="AK44" s="3186"/>
      <c r="AL44" s="3187"/>
      <c r="AM44" s="1175" t="s">
        <v>433</v>
      </c>
      <c r="AO44" s="434"/>
      <c r="AP44" s="434" t="str">
        <f t="shared" si="1"/>
        <v>Территория действия тарифа</v>
      </c>
      <c r="AQ44" s="434"/>
      <c r="AR44" s="434"/>
      <c r="AS44" s="1072">
        <v>23</v>
      </c>
    </row>
    <row r="45" spans="1:45" ht="24" customHeight="1">
      <c r="A45" s="1280" t="s">
        <v>169</v>
      </c>
      <c r="B45" s="1280" t="s">
        <v>170</v>
      </c>
      <c r="C45" s="1280" t="s">
        <v>171</v>
      </c>
      <c r="D45" s="1280"/>
      <c r="E45" s="3200"/>
      <c r="F45" s="3200"/>
      <c r="G45" s="3199">
        <v>1</v>
      </c>
      <c r="H45" s="1280"/>
      <c r="I45" s="1280"/>
      <c r="J45" s="1280"/>
      <c r="K45" s="1280"/>
      <c r="L45" s="1281"/>
      <c r="M45" s="1282"/>
      <c r="N45" s="1282"/>
      <c r="O45" s="1282"/>
      <c r="P45" s="288"/>
      <c r="Q45" s="286"/>
      <c r="R45" s="287"/>
      <c r="S45" s="1141" t="str">
        <f>INDEX(PT_DIFFERENTIATION_NUM_CS,MATCH(C45,PT_DIFFERENTIATION_CS_ID,0))</f>
        <v>..</v>
      </c>
      <c r="T45" s="244" t="s">
        <v>434</v>
      </c>
      <c r="U45" s="235"/>
      <c r="V45" s="3185"/>
      <c r="W45" s="3186"/>
      <c r="X45" s="3186"/>
      <c r="Y45" s="3186"/>
      <c r="Z45" s="3186"/>
      <c r="AA45" s="3186"/>
      <c r="AB45" s="3186"/>
      <c r="AC45" s="3187"/>
      <c r="AD45" s="3185" t="str">
        <f>INDEX(PT_DIFFERENTIATION_CS,MATCH(C45,PT_DIFFERENTIATION_CS_ID,0))</f>
        <v/>
      </c>
      <c r="AE45" s="3186"/>
      <c r="AF45" s="3186"/>
      <c r="AG45" s="3186"/>
      <c r="AH45" s="3186"/>
      <c r="AI45" s="3186"/>
      <c r="AJ45" s="3186"/>
      <c r="AK45" s="3186"/>
      <c r="AL45" s="3187"/>
      <c r="AM45" s="1175" t="s">
        <v>435</v>
      </c>
      <c r="AO45" s="434"/>
      <c r="AP45" s="434" t="str">
        <f t="shared" si="1"/>
        <v xml:space="preserve">Наименование системы теплоснабжения </v>
      </c>
      <c r="AQ45" s="434"/>
      <c r="AR45" s="434"/>
      <c r="AS45" s="1072">
        <v>23</v>
      </c>
    </row>
    <row r="46" spans="1:45" ht="24" customHeight="1">
      <c r="A46" s="1280" t="s">
        <v>169</v>
      </c>
      <c r="B46" s="1280" t="s">
        <v>170</v>
      </c>
      <c r="C46" s="1280" t="s">
        <v>171</v>
      </c>
      <c r="D46" s="1280" t="s">
        <v>172</v>
      </c>
      <c r="E46" s="3200"/>
      <c r="F46" s="3200"/>
      <c r="G46" s="3200"/>
      <c r="H46" s="3199">
        <v>1</v>
      </c>
      <c r="I46" s="1280"/>
      <c r="J46" s="1280"/>
      <c r="K46" s="1280"/>
      <c r="L46" s="1281"/>
      <c r="M46" s="1282"/>
      <c r="N46" s="1282"/>
      <c r="O46" s="1282"/>
      <c r="P46" s="288"/>
      <c r="Q46" s="286"/>
      <c r="R46" s="287"/>
      <c r="S46" s="1141" t="str">
        <f>INDEX(PT_DIFFERENTIATION_NUM_IST_TE,MATCH(D46,PT_DIFFERENTIATION_IST_TE_ID,0))</f>
        <v>...</v>
      </c>
      <c r="T46" s="245" t="s">
        <v>436</v>
      </c>
      <c r="U46" s="235"/>
      <c r="V46" s="3185"/>
      <c r="W46" s="3186"/>
      <c r="X46" s="3186"/>
      <c r="Y46" s="3186"/>
      <c r="Z46" s="3186"/>
      <c r="AA46" s="3186"/>
      <c r="AB46" s="3186"/>
      <c r="AC46" s="3187"/>
      <c r="AD46" s="3185" t="str">
        <f>INDEX(PT_DIFFERENTIATION_IST_TE,MATCH(D46,PT_DIFFERENTIATION_IST_TE_ID,0))</f>
        <v/>
      </c>
      <c r="AE46" s="3186"/>
      <c r="AF46" s="3186"/>
      <c r="AG46" s="3186"/>
      <c r="AH46" s="3186"/>
      <c r="AI46" s="3186"/>
      <c r="AJ46" s="3186"/>
      <c r="AK46" s="3186"/>
      <c r="AL46" s="3187"/>
      <c r="AM46" s="1175" t="s">
        <v>437</v>
      </c>
      <c r="AO46" s="434"/>
      <c r="AP46" s="434" t="str">
        <f t="shared" si="1"/>
        <v xml:space="preserve">Источник тепловой энергии  </v>
      </c>
      <c r="AQ46" s="434"/>
      <c r="AR46" s="434"/>
      <c r="AS46" s="1072">
        <v>23</v>
      </c>
    </row>
    <row r="47" spans="1:45" ht="49.5" customHeight="1">
      <c r="A47" s="1280" t="s">
        <v>169</v>
      </c>
      <c r="B47" s="1280" t="s">
        <v>170</v>
      </c>
      <c r="C47" s="1280" t="s">
        <v>171</v>
      </c>
      <c r="D47" s="1280" t="s">
        <v>172</v>
      </c>
      <c r="E47" s="3200"/>
      <c r="F47" s="3200"/>
      <c r="G47" s="3200"/>
      <c r="H47" s="3200"/>
      <c r="I47" s="3197" t="str">
        <f>S46&amp;".1"</f>
        <v>....1</v>
      </c>
      <c r="J47" s="1280"/>
      <c r="K47" s="1280"/>
      <c r="L47" s="1281" t="s">
        <v>438</v>
      </c>
      <c r="P47" s="3198">
        <v>1</v>
      </c>
      <c r="Q47" s="1137"/>
      <c r="R47" s="290"/>
      <c r="S47" s="1141" t="str">
        <f>$I47</f>
        <v>....1</v>
      </c>
      <c r="T47" s="220" t="s">
        <v>439</v>
      </c>
      <c r="U47" s="235"/>
      <c r="V47" s="3188"/>
      <c r="W47" s="3189"/>
      <c r="X47" s="3189"/>
      <c r="Y47" s="3189"/>
      <c r="Z47" s="3189"/>
      <c r="AA47" s="3189"/>
      <c r="AB47" s="3189"/>
      <c r="AC47" s="3190"/>
      <c r="AD47" s="3188"/>
      <c r="AE47" s="3189"/>
      <c r="AF47" s="3189"/>
      <c r="AG47" s="3189"/>
      <c r="AH47" s="3189"/>
      <c r="AI47" s="3189"/>
      <c r="AJ47" s="3189"/>
      <c r="AK47" s="3189"/>
      <c r="AL47" s="3190"/>
      <c r="AM47" s="1175" t="s">
        <v>440</v>
      </c>
      <c r="AO47" s="434"/>
      <c r="AP47" s="434" t="str">
        <f t="shared" si="1"/>
        <v>Схема подключения теплопотребляющей установки к коллектору источника тепловой энергии</v>
      </c>
      <c r="AQ47" s="434"/>
      <c r="AR47" s="434"/>
      <c r="AS47" s="1072">
        <v>47</v>
      </c>
    </row>
    <row r="48" spans="1:45" ht="24" customHeight="1">
      <c r="A48" s="1280" t="s">
        <v>169</v>
      </c>
      <c r="B48" s="1280" t="s">
        <v>170</v>
      </c>
      <c r="C48" s="1280" t="s">
        <v>171</v>
      </c>
      <c r="D48" s="1280" t="s">
        <v>172</v>
      </c>
      <c r="E48" s="3200"/>
      <c r="F48" s="3200"/>
      <c r="G48" s="3200"/>
      <c r="H48" s="3200"/>
      <c r="I48" s="3220"/>
      <c r="J48" s="3197" t="str">
        <f>I47&amp;".1"</f>
        <v>....1.1</v>
      </c>
      <c r="K48" s="1280"/>
      <c r="L48" s="1281" t="s">
        <v>441</v>
      </c>
      <c r="P48" s="3198"/>
      <c r="Q48" s="3198">
        <v>1</v>
      </c>
      <c r="R48" s="291"/>
      <c r="S48" s="1141" t="str">
        <f>$J48</f>
        <v>....1.1</v>
      </c>
      <c r="T48" s="221" t="s">
        <v>442</v>
      </c>
      <c r="U48" s="235"/>
      <c r="V48" s="3188"/>
      <c r="W48" s="3189"/>
      <c r="X48" s="3189"/>
      <c r="Y48" s="3189"/>
      <c r="Z48" s="3189"/>
      <c r="AA48" s="3189"/>
      <c r="AB48" s="3189"/>
      <c r="AC48" s="3190"/>
      <c r="AD48" s="3188"/>
      <c r="AE48" s="3189"/>
      <c r="AF48" s="3189"/>
      <c r="AG48" s="3189"/>
      <c r="AH48" s="3189"/>
      <c r="AI48" s="3189"/>
      <c r="AJ48" s="3189"/>
      <c r="AK48" s="3189"/>
      <c r="AL48" s="3190"/>
      <c r="AM48" s="1175" t="s">
        <v>443</v>
      </c>
      <c r="AO48" s="434"/>
      <c r="AP48" s="434" t="str">
        <f t="shared" si="1"/>
        <v>Группа потребителей</v>
      </c>
      <c r="AQ48" s="434"/>
      <c r="AR48" s="434"/>
      <c r="AS48" s="1072">
        <v>23</v>
      </c>
    </row>
    <row r="49" spans="1:45" ht="24" customHeight="1">
      <c r="A49" s="1280" t="s">
        <v>169</v>
      </c>
      <c r="B49" s="1280" t="s">
        <v>170</v>
      </c>
      <c r="C49" s="1280" t="s">
        <v>171</v>
      </c>
      <c r="D49" s="1280" t="s">
        <v>172</v>
      </c>
      <c r="E49" s="3200"/>
      <c r="F49" s="3200"/>
      <c r="G49" s="3200"/>
      <c r="H49" s="3200"/>
      <c r="I49" s="3220"/>
      <c r="J49" s="3220"/>
      <c r="K49" s="3197" t="str">
        <f>J48&amp;".1"</f>
        <v>....1.1.1</v>
      </c>
      <c r="L49" s="1281" t="s">
        <v>444</v>
      </c>
      <c r="P49" s="3198"/>
      <c r="Q49" s="3198"/>
      <c r="R49" s="291">
        <v>1</v>
      </c>
      <c r="S49" s="1141" t="str">
        <f>$K49</f>
        <v>....1.1.1</v>
      </c>
      <c r="T49" s="1264"/>
      <c r="U49" s="235"/>
      <c r="V49" s="685"/>
      <c r="W49" s="260"/>
      <c r="X49" s="685"/>
      <c r="Y49" s="1174"/>
      <c r="Z49" s="3202"/>
      <c r="AA49" s="3048" t="s">
        <v>67</v>
      </c>
      <c r="AB49" s="3202"/>
      <c r="AC49" s="3048" t="s">
        <v>67</v>
      </c>
      <c r="AD49" s="685"/>
      <c r="AE49" s="260"/>
      <c r="AF49" s="685"/>
      <c r="AG49" s="1174"/>
      <c r="AH49" s="3202"/>
      <c r="AI49" s="3048" t="s">
        <v>67</v>
      </c>
      <c r="AJ49" s="3221"/>
      <c r="AK49" s="3048" t="s">
        <v>67</v>
      </c>
      <c r="AL49" s="1265"/>
      <c r="AM49" s="3194" t="s">
        <v>445</v>
      </c>
      <c r="AN49" s="445" t="e">
        <f ca="1">STRCHECKDATE(V50:AL50)</f>
        <v>#NAME?</v>
      </c>
      <c r="AO49" s="434"/>
      <c r="AP49" s="434" t="str">
        <f t="shared" si="1"/>
        <v/>
      </c>
      <c r="AQ49" s="434"/>
      <c r="AR49" s="434"/>
      <c r="AS49" s="1072">
        <v>23</v>
      </c>
    </row>
    <row r="50" spans="1:45" ht="1" customHeight="1">
      <c r="A50" s="1280" t="s">
        <v>169</v>
      </c>
      <c r="B50" s="1280" t="s">
        <v>170</v>
      </c>
      <c r="C50" s="1280" t="s">
        <v>171</v>
      </c>
      <c r="D50" s="1280" t="s">
        <v>172</v>
      </c>
      <c r="E50" s="3200"/>
      <c r="F50" s="3200"/>
      <c r="G50" s="3200"/>
      <c r="H50" s="3200"/>
      <c r="I50" s="3220"/>
      <c r="J50" s="3220"/>
      <c r="K50" s="3197"/>
      <c r="L50" s="1281"/>
      <c r="P50" s="3198"/>
      <c r="Q50" s="3198"/>
      <c r="R50" s="291"/>
      <c r="S50" s="1140"/>
      <c r="T50" s="235"/>
      <c r="U50" s="235"/>
      <c r="V50" s="260"/>
      <c r="W50" s="260"/>
      <c r="X50" s="260"/>
      <c r="Y50" s="263" t="str">
        <f>Z49&amp;"-"&amp;AB49</f>
        <v>-</v>
      </c>
      <c r="Z50" s="3203"/>
      <c r="AA50" s="3048"/>
      <c r="AB50" s="3203"/>
      <c r="AC50" s="3048"/>
      <c r="AD50" s="260"/>
      <c r="AE50" s="260"/>
      <c r="AF50" s="260"/>
      <c r="AG50" s="263" t="str">
        <f>AH49&amp;"-"&amp;AJ49</f>
        <v>-</v>
      </c>
      <c r="AH50" s="3203"/>
      <c r="AI50" s="3048"/>
      <c r="AJ50" s="3222"/>
      <c r="AK50" s="3048"/>
      <c r="AL50" s="1266"/>
      <c r="AM50" s="3195"/>
      <c r="AO50" s="434"/>
      <c r="AP50" s="434" t="str">
        <f t="shared" si="1"/>
        <v/>
      </c>
      <c r="AQ50" s="434"/>
      <c r="AR50" s="434"/>
      <c r="AS50" s="1072">
        <v>1</v>
      </c>
    </row>
    <row r="51" spans="1:45" ht="11.5" customHeight="1">
      <c r="A51" s="1280" t="s">
        <v>169</v>
      </c>
      <c r="B51" s="1280" t="s">
        <v>170</v>
      </c>
      <c r="C51" s="1280" t="s">
        <v>171</v>
      </c>
      <c r="D51" s="1280" t="s">
        <v>172</v>
      </c>
      <c r="E51" s="3200"/>
      <c r="F51" s="3200"/>
      <c r="G51" s="3200"/>
      <c r="H51" s="3200"/>
      <c r="I51" s="3220"/>
      <c r="J51" s="3197"/>
      <c r="K51" s="1280"/>
      <c r="L51" s="1281"/>
      <c r="P51" s="3198"/>
      <c r="Q51" s="3198"/>
      <c r="R51" s="290"/>
      <c r="S51" s="1195"/>
      <c r="T51" s="223" t="s">
        <v>446</v>
      </c>
      <c r="U51" s="301"/>
      <c r="V51" s="301"/>
      <c r="W51" s="301"/>
      <c r="X51" s="301"/>
      <c r="Y51" s="301"/>
      <c r="Z51" s="301"/>
      <c r="AA51" s="301"/>
      <c r="AB51" s="301"/>
      <c r="AC51" s="301"/>
      <c r="AD51" s="301"/>
      <c r="AE51" s="301"/>
      <c r="AF51" s="301"/>
      <c r="AG51" s="301"/>
      <c r="AH51" s="301"/>
      <c r="AI51" s="301"/>
      <c r="AJ51" s="301"/>
      <c r="AK51" s="301"/>
      <c r="AL51" s="259"/>
      <c r="AM51" s="3196"/>
      <c r="AO51" s="434"/>
      <c r="AP51" s="434" t="str">
        <f t="shared" si="1"/>
        <v>Добавить вид теплоносителя (параметры теплоносителя)</v>
      </c>
      <c r="AQ51" s="434"/>
      <c r="AR51" s="434"/>
      <c r="AS51" s="1072">
        <v>11</v>
      </c>
    </row>
    <row r="52" spans="1:45" ht="11.5" customHeight="1">
      <c r="A52" s="1280" t="s">
        <v>169</v>
      </c>
      <c r="B52" s="1280" t="s">
        <v>170</v>
      </c>
      <c r="C52" s="1280" t="s">
        <v>171</v>
      </c>
      <c r="D52" s="1280" t="s">
        <v>172</v>
      </c>
      <c r="E52" s="3200"/>
      <c r="F52" s="3200"/>
      <c r="G52" s="3200"/>
      <c r="H52" s="3200"/>
      <c r="I52" s="3197"/>
      <c r="J52" s="1280"/>
      <c r="K52" s="1280"/>
      <c r="L52" s="1281"/>
      <c r="P52" s="3198"/>
      <c r="Q52" s="1137"/>
      <c r="R52" s="290"/>
      <c r="S52" s="1195"/>
      <c r="T52" s="222" t="s">
        <v>447</v>
      </c>
      <c r="U52" s="301"/>
      <c r="V52" s="301"/>
      <c r="W52" s="301"/>
      <c r="X52" s="301"/>
      <c r="Y52" s="301"/>
      <c r="Z52" s="301"/>
      <c r="AA52" s="301"/>
      <c r="AB52" s="301"/>
      <c r="AC52" s="300"/>
      <c r="AD52" s="301"/>
      <c r="AE52" s="301"/>
      <c r="AF52" s="301"/>
      <c r="AG52" s="301"/>
      <c r="AH52" s="301"/>
      <c r="AI52" s="301"/>
      <c r="AJ52" s="301"/>
      <c r="AK52" s="300"/>
      <c r="AL52" s="301"/>
      <c r="AM52" s="238"/>
      <c r="AO52" s="434"/>
      <c r="AP52" s="434" t="str">
        <f t="shared" si="1"/>
        <v>Добавить группу потребителей</v>
      </c>
      <c r="AQ52" s="434"/>
      <c r="AR52" s="434"/>
      <c r="AS52" s="1072">
        <v>11</v>
      </c>
    </row>
    <row r="53" spans="1:45" ht="14.65" customHeight="1">
      <c r="A53" s="1280" t="s">
        <v>169</v>
      </c>
      <c r="B53" s="1280" t="s">
        <v>170</v>
      </c>
      <c r="C53" s="1280" t="s">
        <v>171</v>
      </c>
      <c r="D53" s="1280" t="s">
        <v>172</v>
      </c>
      <c r="E53" s="3200"/>
      <c r="F53" s="3200"/>
      <c r="G53" s="3200"/>
      <c r="H53" s="3199"/>
      <c r="I53" s="1280"/>
      <c r="J53" s="1280"/>
      <c r="K53" s="1280"/>
      <c r="L53" s="1281"/>
      <c r="M53" s="1282"/>
      <c r="N53" s="1282"/>
      <c r="O53" s="471"/>
      <c r="P53" s="294"/>
      <c r="Q53" s="309"/>
      <c r="R53" s="289"/>
      <c r="S53" s="1195"/>
      <c r="T53" s="299" t="s">
        <v>448</v>
      </c>
      <c r="U53" s="301"/>
      <c r="V53" s="301"/>
      <c r="W53" s="301"/>
      <c r="X53" s="301"/>
      <c r="Y53" s="301"/>
      <c r="Z53" s="301"/>
      <c r="AA53" s="301"/>
      <c r="AB53" s="301"/>
      <c r="AC53" s="300"/>
      <c r="AD53" s="301"/>
      <c r="AE53" s="301"/>
      <c r="AF53" s="301"/>
      <c r="AG53" s="301"/>
      <c r="AH53" s="301"/>
      <c r="AI53" s="301"/>
      <c r="AJ53" s="301"/>
      <c r="AK53" s="300"/>
      <c r="AL53" s="301"/>
      <c r="AM53" s="238"/>
      <c r="AO53" s="434"/>
      <c r="AP53" s="434" t="str">
        <f t="shared" si="1"/>
        <v>Добавить схему подключения</v>
      </c>
      <c r="AQ53" s="434"/>
      <c r="AR53" s="434"/>
      <c r="AS53" s="1072">
        <v>14</v>
      </c>
    </row>
    <row r="54" spans="1:45" s="2017" customFormat="1" ht="1" customHeight="1">
      <c r="A54" s="1260" t="s">
        <v>169</v>
      </c>
      <c r="B54" s="1260" t="s">
        <v>170</v>
      </c>
      <c r="C54" s="1260" t="s">
        <v>171</v>
      </c>
      <c r="D54" s="1231"/>
      <c r="E54" s="3200"/>
      <c r="F54" s="3200"/>
      <c r="G54" s="3199"/>
      <c r="H54" s="1231"/>
      <c r="I54" s="1231"/>
      <c r="J54" s="1231"/>
      <c r="K54" s="1231"/>
      <c r="L54" s="1256"/>
      <c r="M54" s="1232"/>
      <c r="N54" s="1232"/>
      <c r="P54" s="1233"/>
      <c r="Q54" s="1234"/>
      <c r="R54" s="1233"/>
      <c r="S54" s="1239"/>
      <c r="T54" s="1242" t="s">
        <v>180</v>
      </c>
      <c r="U54" s="1241"/>
      <c r="V54" s="1241"/>
      <c r="W54" s="1241"/>
      <c r="X54" s="1241"/>
      <c r="Y54" s="1241"/>
      <c r="Z54" s="1241"/>
      <c r="AA54" s="1241"/>
      <c r="AB54" s="1241"/>
      <c r="AC54" s="1241"/>
      <c r="AD54" s="1241"/>
      <c r="AE54" s="1241"/>
      <c r="AF54" s="1241"/>
      <c r="AG54" s="1241"/>
      <c r="AH54" s="1241"/>
      <c r="AI54" s="1241"/>
      <c r="AJ54" s="1241"/>
      <c r="AK54" s="1241"/>
      <c r="AL54" s="1241"/>
      <c r="AM54" s="1241"/>
      <c r="AO54" s="717"/>
      <c r="AP54" s="717" t="str">
        <f t="shared" si="1"/>
        <v>Добавить источник для дифференциации</v>
      </c>
      <c r="AQ54" s="717"/>
      <c r="AR54" s="717"/>
      <c r="AS54" s="452">
        <v>1</v>
      </c>
    </row>
    <row r="55" spans="1:45" s="2017" customFormat="1" ht="1" customHeight="1">
      <c r="A55" s="1260" t="s">
        <v>169</v>
      </c>
      <c r="B55" s="1260" t="s">
        <v>170</v>
      </c>
      <c r="C55" s="1231"/>
      <c r="D55" s="1231"/>
      <c r="E55" s="3200"/>
      <c r="F55" s="3199"/>
      <c r="G55" s="1231"/>
      <c r="H55" s="1231"/>
      <c r="I55" s="1231"/>
      <c r="J55" s="1231"/>
      <c r="K55" s="1231"/>
      <c r="L55" s="1256"/>
      <c r="M55" s="1238"/>
      <c r="N55" s="1238"/>
      <c r="P55" s="1233"/>
      <c r="Q55" s="1234"/>
      <c r="R55" s="1233"/>
      <c r="S55" s="1239"/>
      <c r="T55" s="1242" t="s">
        <v>181</v>
      </c>
      <c r="U55" s="1241"/>
      <c r="V55" s="1241"/>
      <c r="W55" s="1241"/>
      <c r="X55" s="1241"/>
      <c r="Y55" s="1241"/>
      <c r="Z55" s="1241"/>
      <c r="AA55" s="1241"/>
      <c r="AB55" s="1241"/>
      <c r="AC55" s="1241"/>
      <c r="AD55" s="1241"/>
      <c r="AE55" s="1241"/>
      <c r="AF55" s="1241"/>
      <c r="AG55" s="1241"/>
      <c r="AH55" s="1241"/>
      <c r="AI55" s="1241"/>
      <c r="AJ55" s="1241"/>
      <c r="AK55" s="1241"/>
      <c r="AL55" s="1241"/>
      <c r="AM55" s="1241"/>
      <c r="AO55" s="717"/>
      <c r="AP55" s="717" t="str">
        <f t="shared" si="1"/>
        <v>Добавить централизованную систему для дифференциации</v>
      </c>
      <c r="AQ55" s="717"/>
      <c r="AR55" s="717"/>
      <c r="AS55" s="452">
        <v>1</v>
      </c>
    </row>
    <row r="56" spans="1:45" s="2017" customFormat="1" ht="1" customHeight="1">
      <c r="A56" s="1260" t="s">
        <v>169</v>
      </c>
      <c r="B56" s="1260"/>
      <c r="C56" s="1260"/>
      <c r="D56" s="1260"/>
      <c r="E56" s="3199"/>
      <c r="F56" s="1260"/>
      <c r="G56" s="1260"/>
      <c r="H56" s="1260"/>
      <c r="I56" s="1260"/>
      <c r="J56" s="1260"/>
      <c r="K56" s="1260"/>
      <c r="L56" s="1263"/>
      <c r="M56" s="1238"/>
      <c r="N56" s="1238"/>
      <c r="O56" s="452"/>
      <c r="P56" s="314"/>
      <c r="Q56" s="1261"/>
      <c r="R56" s="314"/>
      <c r="S56" s="1239"/>
      <c r="T56" s="1242" t="s">
        <v>188</v>
      </c>
      <c r="U56" s="1241"/>
      <c r="V56" s="1241"/>
      <c r="W56" s="1241"/>
      <c r="X56" s="1241"/>
      <c r="Y56" s="1241"/>
      <c r="Z56" s="1241"/>
      <c r="AA56" s="1241"/>
      <c r="AB56" s="1241"/>
      <c r="AC56" s="1241"/>
      <c r="AD56" s="1241"/>
      <c r="AE56" s="1241"/>
      <c r="AF56" s="1241"/>
      <c r="AG56" s="1241"/>
      <c r="AH56" s="1241"/>
      <c r="AI56" s="1241"/>
      <c r="AJ56" s="1241"/>
      <c r="AK56" s="1241"/>
      <c r="AL56" s="1241"/>
      <c r="AM56" s="1241"/>
      <c r="AO56" s="434"/>
      <c r="AP56" s="434" t="str">
        <f t="shared" si="1"/>
        <v>Добавить территорию для дифференциации</v>
      </c>
      <c r="AQ56" s="434"/>
      <c r="AR56" s="434"/>
      <c r="AS56" s="445">
        <v>1</v>
      </c>
    </row>
    <row r="57" spans="1:45" s="2017" customFormat="1" ht="1" customHeight="1">
      <c r="A57" s="1231"/>
      <c r="B57" s="1231"/>
      <c r="C57" s="1231"/>
      <c r="D57" s="1231"/>
      <c r="E57" s="1260"/>
      <c r="F57" s="1231"/>
      <c r="G57" s="1231"/>
      <c r="H57" s="1231"/>
      <c r="I57" s="1231"/>
      <c r="J57" s="1231"/>
      <c r="K57" s="1231"/>
      <c r="L57" s="1256"/>
      <c r="M57" s="1238"/>
      <c r="N57" s="1238"/>
      <c r="P57" s="1233"/>
      <c r="Q57" s="1234"/>
      <c r="R57" s="1233"/>
      <c r="S57" s="1239"/>
      <c r="T57" s="1242" t="s">
        <v>189</v>
      </c>
      <c r="U57" s="1241"/>
      <c r="V57" s="1241"/>
      <c r="W57" s="1241"/>
      <c r="X57" s="1241"/>
      <c r="Y57" s="1241"/>
      <c r="Z57" s="1241"/>
      <c r="AA57" s="1241"/>
      <c r="AB57" s="1241"/>
      <c r="AC57" s="1241"/>
      <c r="AD57" s="1241"/>
      <c r="AE57" s="1241"/>
      <c r="AF57" s="1241"/>
      <c r="AG57" s="1241"/>
      <c r="AH57" s="1241"/>
      <c r="AI57" s="1241"/>
      <c r="AJ57" s="1241"/>
      <c r="AK57" s="1241"/>
      <c r="AL57" s="1241"/>
      <c r="AM57" s="1241"/>
      <c r="AO57" s="717"/>
      <c r="AP57" s="717" t="str">
        <f t="shared" si="1"/>
        <v>Добавить наименование тарифа</v>
      </c>
      <c r="AQ57" s="717"/>
      <c r="AR57" s="717"/>
      <c r="AS57" s="452">
        <v>1</v>
      </c>
    </row>
    <row r="58" spans="1:45" ht="11.5" customHeight="1">
      <c r="M58" s="1077"/>
      <c r="N58" s="1077"/>
      <c r="O58" s="471"/>
      <c r="P58" s="1072"/>
      <c r="Q58" s="1072"/>
      <c r="R58" s="1072"/>
      <c r="S58" s="1072"/>
      <c r="AN58" s="1072"/>
      <c r="AO58" s="1072"/>
      <c r="AP58" s="1072"/>
      <c r="AQ58" s="1072"/>
      <c r="AR58" s="1072"/>
      <c r="AS58" s="1072">
        <v>11</v>
      </c>
    </row>
    <row r="59" spans="1:45" ht="28.5" customHeight="1">
      <c r="O59" s="471"/>
      <c r="S59" s="1170"/>
      <c r="T59" s="3219"/>
      <c r="U59" s="3219"/>
      <c r="V59" s="3219"/>
      <c r="W59" s="3219"/>
      <c r="X59" s="3219"/>
      <c r="Y59" s="3219"/>
      <c r="Z59" s="3219"/>
      <c r="AA59" s="3219"/>
      <c r="AB59" s="3219"/>
      <c r="AC59" s="3219"/>
      <c r="AD59" s="3219"/>
      <c r="AE59" s="3219"/>
      <c r="AF59" s="3219"/>
      <c r="AG59" s="3219"/>
      <c r="AH59" s="3219"/>
      <c r="AI59" s="3219"/>
      <c r="AJ59" s="3219"/>
      <c r="AK59" s="3219"/>
      <c r="AL59" s="3219"/>
      <c r="AM59" s="3219"/>
      <c r="AS59" s="1072">
        <v>27</v>
      </c>
    </row>
    <row r="60" spans="1:45" ht="67.25" customHeight="1">
      <c r="O60" s="471"/>
      <c r="P60" s="1220"/>
      <c r="T60" s="3219"/>
      <c r="U60" s="3219"/>
      <c r="V60" s="3219"/>
      <c r="W60" s="3219"/>
      <c r="X60" s="3219"/>
      <c r="Y60" s="3219"/>
      <c r="Z60" s="3219"/>
      <c r="AA60" s="3219"/>
      <c r="AB60" s="3219"/>
      <c r="AC60" s="3219"/>
      <c r="AD60" s="3219"/>
      <c r="AE60" s="3219"/>
      <c r="AF60" s="3219"/>
      <c r="AG60" s="3219"/>
      <c r="AH60" s="3219"/>
      <c r="AI60" s="3219"/>
      <c r="AJ60" s="3219"/>
      <c r="AK60" s="3219"/>
      <c r="AL60" s="3219"/>
      <c r="AM60" s="3219"/>
      <c r="AS60" s="1072">
        <v>64</v>
      </c>
    </row>
    <row r="61" spans="1:45" ht="14.65" customHeight="1">
      <c r="O61" s="471"/>
      <c r="AS61" s="1072">
        <v>14</v>
      </c>
    </row>
    <row r="62" spans="1:45" ht="18.75" customHeight="1">
      <c r="O62" s="471"/>
      <c r="P62" s="1245"/>
      <c r="S62" s="1170"/>
      <c r="T62" s="3219"/>
      <c r="U62" s="3219"/>
      <c r="V62" s="3219"/>
      <c r="W62" s="3219"/>
      <c r="X62" s="3219"/>
      <c r="Y62" s="3219"/>
      <c r="Z62" s="3219"/>
      <c r="AA62" s="3219"/>
      <c r="AB62" s="3219"/>
      <c r="AC62" s="3219"/>
      <c r="AD62" s="3219"/>
      <c r="AE62" s="3219"/>
      <c r="AF62" s="3219"/>
      <c r="AG62" s="3219"/>
      <c r="AH62" s="3219"/>
      <c r="AI62" s="3219"/>
      <c r="AJ62" s="3219"/>
      <c r="AK62" s="3219"/>
      <c r="AL62" s="3219"/>
      <c r="AM62" s="3219"/>
      <c r="AS62" s="1072">
        <v>18</v>
      </c>
    </row>
    <row r="63" spans="1:45" ht="18.75" customHeight="1">
      <c r="O63" s="471"/>
      <c r="P63" s="1245"/>
      <c r="T63" s="3219"/>
      <c r="U63" s="3219"/>
      <c r="V63" s="3219"/>
      <c r="W63" s="3219"/>
      <c r="X63" s="3219"/>
      <c r="Y63" s="3219"/>
      <c r="Z63" s="3219"/>
      <c r="AA63" s="3219"/>
      <c r="AB63" s="3219"/>
      <c r="AC63" s="3219"/>
      <c r="AD63" s="3219"/>
      <c r="AE63" s="3219"/>
      <c r="AF63" s="3219"/>
      <c r="AG63" s="3219"/>
      <c r="AH63" s="3219"/>
      <c r="AI63" s="3219"/>
      <c r="AJ63" s="3219"/>
      <c r="AK63" s="3219"/>
      <c r="AL63" s="3219"/>
      <c r="AM63" s="3219"/>
      <c r="AS63" s="1072">
        <v>18</v>
      </c>
    </row>
    <row r="64" spans="1:45" ht="29.25" customHeight="1">
      <c r="O64" s="471"/>
      <c r="P64" s="1245"/>
      <c r="S64" s="1170"/>
      <c r="T64" s="3219"/>
      <c r="U64" s="3219"/>
      <c r="V64" s="3219"/>
      <c r="W64" s="3219"/>
      <c r="X64" s="3219"/>
      <c r="Y64" s="3219"/>
      <c r="Z64" s="3219"/>
      <c r="AA64" s="3219"/>
      <c r="AB64" s="3219"/>
      <c r="AC64" s="3219"/>
      <c r="AD64" s="3219"/>
      <c r="AE64" s="3219"/>
      <c r="AF64" s="3219"/>
      <c r="AG64" s="3219"/>
      <c r="AH64" s="3219"/>
      <c r="AI64" s="3219"/>
      <c r="AJ64" s="3219"/>
      <c r="AK64" s="3219"/>
      <c r="AL64" s="3219"/>
      <c r="AM64" s="3219"/>
      <c r="AS64" s="1072">
        <v>28</v>
      </c>
    </row>
    <row r="65" spans="1:45" ht="22.5" hidden="1" customHeight="1">
      <c r="A65" s="1077" t="s">
        <v>83</v>
      </c>
      <c r="B65" s="1077">
        <v>0</v>
      </c>
      <c r="C65" s="1077">
        <v>0</v>
      </c>
      <c r="D65" s="1077">
        <v>0</v>
      </c>
      <c r="E65" s="1077">
        <v>0</v>
      </c>
      <c r="F65" s="1077">
        <v>0</v>
      </c>
      <c r="G65" s="1077">
        <v>0</v>
      </c>
      <c r="H65" s="1077">
        <v>0</v>
      </c>
      <c r="I65" s="1077">
        <v>0</v>
      </c>
      <c r="J65" s="1077">
        <v>0</v>
      </c>
      <c r="K65" s="1077">
        <v>0</v>
      </c>
      <c r="L65" s="1246">
        <v>0</v>
      </c>
      <c r="M65" s="1279">
        <v>0</v>
      </c>
      <c r="N65" s="1279">
        <v>0</v>
      </c>
      <c r="O65" s="1279">
        <v>0</v>
      </c>
      <c r="P65" s="1135">
        <v>3</v>
      </c>
      <c r="Q65" s="279">
        <v>3</v>
      </c>
      <c r="R65" s="279">
        <v>3</v>
      </c>
      <c r="S65" s="515">
        <v>12</v>
      </c>
      <c r="T65" s="1072">
        <v>35</v>
      </c>
      <c r="U65" s="1072">
        <v>0</v>
      </c>
      <c r="V65" s="1072">
        <v>0</v>
      </c>
      <c r="W65" s="1072">
        <v>0</v>
      </c>
      <c r="X65" s="1072">
        <v>0</v>
      </c>
      <c r="Y65" s="1072">
        <v>0</v>
      </c>
      <c r="Z65" s="1072">
        <v>0</v>
      </c>
      <c r="AA65" s="1072">
        <v>0</v>
      </c>
      <c r="AB65" s="1072">
        <v>0</v>
      </c>
      <c r="AC65" s="1072">
        <v>0</v>
      </c>
      <c r="AD65" s="1072">
        <v>24</v>
      </c>
      <c r="AE65" s="1072">
        <v>0</v>
      </c>
      <c r="AF65" s="1072">
        <v>24</v>
      </c>
      <c r="AG65" s="1072">
        <v>24</v>
      </c>
      <c r="AH65" s="1072">
        <v>11</v>
      </c>
      <c r="AI65" s="1072">
        <v>3</v>
      </c>
      <c r="AJ65" s="1072">
        <v>11</v>
      </c>
      <c r="AK65" s="1072">
        <v>0</v>
      </c>
      <c r="AL65" s="1072">
        <v>4</v>
      </c>
      <c r="AM65" s="1072">
        <v>115</v>
      </c>
      <c r="AN65" s="445">
        <v>10</v>
      </c>
      <c r="AO65" s="445">
        <v>10</v>
      </c>
      <c r="AP65" s="445">
        <v>10</v>
      </c>
      <c r="AQ65" s="445">
        <v>10</v>
      </c>
      <c r="AR65" s="445">
        <v>10</v>
      </c>
      <c r="AS65" s="1072">
        <v>23</v>
      </c>
    </row>
  </sheetData>
  <sheetProtection formatColumns="0" formatRows="0" insertRows="0" deleteColumns="0" deleteRows="0" sort="0" autoFilter="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xr:uid="{00000000-0002-0000-0A00-000000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A00-000001000000}"/>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A00-000002000000}">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A00-00000300000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A00-000004000000}">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xr:uid="{00000000-0002-0000-0A00-00000500000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A00-000006000000}">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A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408A2F-27C5-F691-EEA8-874C4026D3B1}">
  <sheetPr>
    <tabColor theme="6" tint="0.39997558519241921"/>
  </sheetPr>
  <dimension ref="A1:BA89"/>
  <sheetViews>
    <sheetView showGridLines="0" topLeftCell="P25" zoomScale="90" workbookViewId="0">
      <selection activeCell="AL74" sqref="AL74"/>
    </sheetView>
  </sheetViews>
  <sheetFormatPr defaultColWidth="10.59765625" defaultRowHeight="14.25" customHeight="1"/>
  <cols>
    <col min="1" max="1" width="10.59765625" style="2016" hidden="1"/>
    <col min="2" max="2" width="11" style="2016" hidden="1" customWidth="1"/>
    <col min="3" max="3" width="10.59765625" style="2016" hidden="1"/>
    <col min="4" max="4" width="11.796875" style="2016" hidden="1" customWidth="1"/>
    <col min="5" max="5" width="10" style="2016" hidden="1" customWidth="1"/>
    <col min="6" max="6" width="8.69921875" style="2016" hidden="1" customWidth="1"/>
    <col min="7" max="7" width="7.59765625" style="2016" hidden="1" customWidth="1"/>
    <col min="8" max="8" width="11.3984375" style="2016" hidden="1" customWidth="1"/>
    <col min="9" max="9" width="12" style="2016" hidden="1" customWidth="1"/>
    <col min="10" max="10" width="9.796875" style="2016" hidden="1" customWidth="1"/>
    <col min="11" max="11" width="11.3984375" style="2016" hidden="1" customWidth="1"/>
    <col min="12" max="12" width="19.09765625" style="2216" hidden="1" customWidth="1"/>
    <col min="13" max="14" width="12.296875" style="2006" hidden="1" customWidth="1"/>
    <col min="15" max="15" width="23.3984375" style="2006" hidden="1" customWidth="1"/>
    <col min="16" max="16" width="3" style="2217" customWidth="1"/>
    <col min="17" max="18" width="3" style="2215" customWidth="1"/>
    <col min="19" max="19" width="12" style="2218" customWidth="1"/>
    <col min="20" max="20" width="31" style="2004" customWidth="1"/>
    <col min="21" max="21" width="9.765625E-2" style="2004" customWidth="1"/>
    <col min="22" max="22" width="24.69921875" style="2004" hidden="1" customWidth="1"/>
    <col min="23" max="23" width="9.765625E-2" style="2004" hidden="1" customWidth="1"/>
    <col min="24" max="25" width="24.69921875" style="2004" hidden="1" customWidth="1"/>
    <col min="26" max="26" width="11.69921875" style="2004" hidden="1" customWidth="1"/>
    <col min="27" max="27" width="3.69921875" style="2004" hidden="1" customWidth="1"/>
    <col min="28" max="28" width="11.69921875" style="2004" hidden="1" customWidth="1"/>
    <col min="29" max="29" width="8.59765625" style="2004" hidden="1" customWidth="1"/>
    <col min="30" max="30" width="24.69921875" style="2004" customWidth="1"/>
    <col min="31" max="31" width="9.765625E-2" style="2004" customWidth="1"/>
    <col min="32" max="33" width="24" style="2004" customWidth="1"/>
    <col min="34" max="34" width="11" style="2004" customWidth="1"/>
    <col min="35" max="35" width="3.69921875" style="2004" customWidth="1"/>
    <col min="36" max="36" width="11" style="2004" customWidth="1"/>
    <col min="37" max="37" width="8.59765625" style="2004" customWidth="1"/>
    <col min="45" max="45" width="10.59765625" hidden="1"/>
    <col min="46" max="46" width="4" style="2004" customWidth="1"/>
    <col min="47" max="47" width="115" style="2004" customWidth="1"/>
    <col min="48" max="52" width="10" style="2017" customWidth="1"/>
    <col min="53" max="53" width="10.59765625" style="2004" hidden="1"/>
  </cols>
  <sheetData>
    <row r="1" spans="1:53" ht="22.5" hidden="1" customHeight="1">
      <c r="Y1" s="262"/>
      <c r="Z1" s="262"/>
      <c r="AG1" s="262"/>
      <c r="AH1" s="262"/>
      <c r="AL1" s="2219"/>
      <c r="AM1" s="2219"/>
      <c r="AN1" s="2219"/>
      <c r="AO1" s="2219"/>
      <c r="AP1" s="2219"/>
      <c r="AQ1" s="2219"/>
      <c r="AR1" s="2219"/>
      <c r="AS1" s="2219"/>
      <c r="BA1" s="1072" t="s">
        <v>14</v>
      </c>
    </row>
    <row r="2" spans="1:53" ht="21" hidden="1" customHeight="1">
      <c r="A2" s="1280"/>
      <c r="B2" s="1280"/>
      <c r="C2" s="1280"/>
      <c r="D2" s="1280"/>
      <c r="E2" s="3199">
        <v>1</v>
      </c>
      <c r="F2" s="1280"/>
      <c r="G2" s="1280"/>
      <c r="H2" s="1280"/>
      <c r="I2" s="1280"/>
      <c r="J2" s="1280"/>
      <c r="K2" s="1280"/>
      <c r="L2" s="1281"/>
      <c r="M2" s="1282"/>
      <c r="N2" s="1282"/>
      <c r="O2" s="1282"/>
      <c r="P2" s="295"/>
      <c r="Q2" s="294"/>
      <c r="R2" s="289"/>
      <c r="S2" s="1253" t="e">
        <f>INDEX(PT_DIFFERENTIATION_NUM_NTAR,MATCH(A2,PT_DIFFERENTIATION_NTAR_ID,0))</f>
        <v>#N/A</v>
      </c>
      <c r="T2" s="233" t="s">
        <v>137</v>
      </c>
      <c r="U2" s="235"/>
      <c r="V2" s="3185"/>
      <c r="W2" s="3186"/>
      <c r="X2" s="3186"/>
      <c r="Y2" s="3186"/>
      <c r="Z2" s="3186"/>
      <c r="AA2" s="3186"/>
      <c r="AB2" s="3186"/>
      <c r="AC2" s="3187"/>
      <c r="AD2" s="3185" t="e">
        <f>INDEX(PT_DIFFERENTIATION_NTAR,MATCH(A2,PT_DIFFERENTIATION_NTAR_ID,0))</f>
        <v>#N/A</v>
      </c>
      <c r="AE2" s="3186"/>
      <c r="AF2" s="3186"/>
      <c r="AG2" s="3186"/>
      <c r="AH2" s="3186"/>
      <c r="AI2" s="3186"/>
      <c r="AJ2" s="3186"/>
      <c r="AK2" s="3186"/>
      <c r="AL2" s="3185"/>
      <c r="AM2" s="3186"/>
      <c r="AN2" s="3186"/>
      <c r="AO2" s="3186"/>
      <c r="AP2" s="3186"/>
      <c r="AQ2" s="3186"/>
      <c r="AR2" s="3186"/>
      <c r="AS2" s="3187"/>
      <c r="AT2" s="3187"/>
      <c r="AU2" s="1175" t="s">
        <v>431</v>
      </c>
      <c r="AW2" s="434"/>
      <c r="AX2" s="434" t="str">
        <f t="shared" ref="AX2:AX15" si="0">IF(T2="","",T2)</f>
        <v>Наименование тарифа</v>
      </c>
      <c r="AY2" s="434"/>
      <c r="AZ2" s="434"/>
      <c r="BA2" s="1072">
        <v>0</v>
      </c>
    </row>
    <row r="3" spans="1:53" ht="21" hidden="1" customHeight="1">
      <c r="A3" s="1280"/>
      <c r="B3" s="1280"/>
      <c r="C3" s="1280"/>
      <c r="D3" s="1280"/>
      <c r="E3" s="3200"/>
      <c r="F3" s="3199">
        <v>1</v>
      </c>
      <c r="G3" s="1280"/>
      <c r="H3" s="1280"/>
      <c r="I3" s="1280"/>
      <c r="J3" s="1280"/>
      <c r="K3" s="1280"/>
      <c r="L3" s="1281"/>
      <c r="M3" s="1282"/>
      <c r="N3" s="1282"/>
      <c r="O3" s="1282"/>
      <c r="P3" s="1249"/>
      <c r="Q3" s="286"/>
      <c r="R3" s="287"/>
      <c r="S3" s="1253" t="e">
        <f>INDEX(PT_DIFFERENTIATION_NUM_TER,MATCH(B3,PT_DIFFERENTIATION_TER_ID,0))</f>
        <v>#N/A</v>
      </c>
      <c r="T3" s="243" t="s">
        <v>432</v>
      </c>
      <c r="U3" s="235"/>
      <c r="V3" s="3185"/>
      <c r="W3" s="3186"/>
      <c r="X3" s="3186"/>
      <c r="Y3" s="3186"/>
      <c r="Z3" s="3186"/>
      <c r="AA3" s="3186"/>
      <c r="AB3" s="3186"/>
      <c r="AC3" s="3187"/>
      <c r="AD3" s="3185" t="e">
        <f>INDEX(PT_DIFFERENTIATION_TER,MATCH(B3,PT_DIFFERENTIATION_TER_ID,0))</f>
        <v>#N/A</v>
      </c>
      <c r="AE3" s="3186"/>
      <c r="AF3" s="3186"/>
      <c r="AG3" s="3186"/>
      <c r="AH3" s="3186"/>
      <c r="AI3" s="3186"/>
      <c r="AJ3" s="3186"/>
      <c r="AK3" s="3186"/>
      <c r="AL3" s="3185"/>
      <c r="AM3" s="3186"/>
      <c r="AN3" s="3186"/>
      <c r="AO3" s="3186"/>
      <c r="AP3" s="3186"/>
      <c r="AQ3" s="3186"/>
      <c r="AR3" s="3186"/>
      <c r="AS3" s="3187"/>
      <c r="AT3" s="3187"/>
      <c r="AU3" s="1175" t="s">
        <v>433</v>
      </c>
      <c r="AW3" s="434"/>
      <c r="AX3" s="434" t="str">
        <f t="shared" si="0"/>
        <v>Территория действия тарифа</v>
      </c>
      <c r="AY3" s="434"/>
      <c r="AZ3" s="434"/>
      <c r="BA3" s="1072">
        <v>0</v>
      </c>
    </row>
    <row r="4" spans="1:53" ht="23.25" hidden="1" customHeight="1">
      <c r="A4" s="1280"/>
      <c r="B4" s="1280"/>
      <c r="C4" s="1280"/>
      <c r="D4" s="1280"/>
      <c r="E4" s="3200"/>
      <c r="F4" s="3200"/>
      <c r="G4" s="3199">
        <v>1</v>
      </c>
      <c r="H4" s="1280"/>
      <c r="I4" s="1280"/>
      <c r="J4" s="1280"/>
      <c r="K4" s="1280"/>
      <c r="L4" s="1281"/>
      <c r="M4" s="1282"/>
      <c r="N4" s="1282"/>
      <c r="O4" s="1282"/>
      <c r="P4" s="288"/>
      <c r="Q4" s="286"/>
      <c r="R4" s="287"/>
      <c r="S4" s="1253" t="e">
        <f>INDEX(PT_DIFFERENTIATION_NUM_CS,MATCH(C4,PT_DIFFERENTIATION_CS_ID,0))</f>
        <v>#N/A</v>
      </c>
      <c r="T4" s="244" t="s">
        <v>434</v>
      </c>
      <c r="U4" s="235"/>
      <c r="V4" s="3185"/>
      <c r="W4" s="3186"/>
      <c r="X4" s="3186"/>
      <c r="Y4" s="3186"/>
      <c r="Z4" s="3186"/>
      <c r="AA4" s="3186"/>
      <c r="AB4" s="3186"/>
      <c r="AC4" s="3187"/>
      <c r="AD4" s="3185" t="e">
        <f>INDEX(PT_DIFFERENTIATION_CS,MATCH(C4,PT_DIFFERENTIATION_CS_ID,0))</f>
        <v>#N/A</v>
      </c>
      <c r="AE4" s="3186"/>
      <c r="AF4" s="3186"/>
      <c r="AG4" s="3186"/>
      <c r="AH4" s="3186"/>
      <c r="AI4" s="3186"/>
      <c r="AJ4" s="3186"/>
      <c r="AK4" s="3186"/>
      <c r="AL4" s="3185"/>
      <c r="AM4" s="3186"/>
      <c r="AN4" s="3186"/>
      <c r="AO4" s="3186"/>
      <c r="AP4" s="3186"/>
      <c r="AQ4" s="3186"/>
      <c r="AR4" s="3186"/>
      <c r="AS4" s="3187"/>
      <c r="AT4" s="3187"/>
      <c r="AU4" s="1175" t="s">
        <v>435</v>
      </c>
      <c r="AW4" s="434"/>
      <c r="AX4" s="434" t="str">
        <f t="shared" si="0"/>
        <v xml:space="preserve">Наименование системы теплоснабжения </v>
      </c>
      <c r="AY4" s="434"/>
      <c r="AZ4" s="434"/>
      <c r="BA4" s="1072">
        <v>0</v>
      </c>
    </row>
    <row r="5" spans="1:53" ht="21" hidden="1" customHeight="1">
      <c r="A5" s="1280"/>
      <c r="B5" s="1280"/>
      <c r="C5" s="1280"/>
      <c r="D5" s="1280"/>
      <c r="E5" s="3200"/>
      <c r="F5" s="3200"/>
      <c r="G5" s="3200"/>
      <c r="H5" s="3199">
        <v>1</v>
      </c>
      <c r="I5" s="1280"/>
      <c r="J5" s="1280"/>
      <c r="K5" s="1280"/>
      <c r="L5" s="1281"/>
      <c r="M5" s="1282"/>
      <c r="N5" s="1282"/>
      <c r="O5" s="1282"/>
      <c r="P5" s="288"/>
      <c r="Q5" s="286"/>
      <c r="R5" s="287"/>
      <c r="S5" s="1253" t="e">
        <f>INDEX(PT_DIFFERENTIATION_NUM_IST_TE,MATCH(D5,PT_DIFFERENTIATION_IST_TE_ID,0))</f>
        <v>#N/A</v>
      </c>
      <c r="T5" s="245" t="s">
        <v>436</v>
      </c>
      <c r="U5" s="235"/>
      <c r="V5" s="3185"/>
      <c r="W5" s="3186"/>
      <c r="X5" s="3186"/>
      <c r="Y5" s="3186"/>
      <c r="Z5" s="3186"/>
      <c r="AA5" s="3186"/>
      <c r="AB5" s="3186"/>
      <c r="AC5" s="3187"/>
      <c r="AD5" s="3185" t="e">
        <f>INDEX(PT_DIFFERENTIATION_IST_TE,MATCH(D5,PT_DIFFERENTIATION_IST_TE_ID,0))</f>
        <v>#N/A</v>
      </c>
      <c r="AE5" s="3186"/>
      <c r="AF5" s="3186"/>
      <c r="AG5" s="3186"/>
      <c r="AH5" s="3186"/>
      <c r="AI5" s="3186"/>
      <c r="AJ5" s="3186"/>
      <c r="AK5" s="3186"/>
      <c r="AL5" s="3185"/>
      <c r="AM5" s="3186"/>
      <c r="AN5" s="3186"/>
      <c r="AO5" s="3186"/>
      <c r="AP5" s="3186"/>
      <c r="AQ5" s="3186"/>
      <c r="AR5" s="3186"/>
      <c r="AS5" s="3187"/>
      <c r="AT5" s="3187"/>
      <c r="AU5" s="1175" t="s">
        <v>437</v>
      </c>
      <c r="AW5" s="434"/>
      <c r="AX5" s="434" t="str">
        <f t="shared" si="0"/>
        <v xml:space="preserve">Источник тепловой энергии  </v>
      </c>
      <c r="AY5" s="434"/>
      <c r="AZ5" s="434"/>
      <c r="BA5" s="1072">
        <v>0</v>
      </c>
    </row>
    <row r="6" spans="1:53" ht="47.25" hidden="1" customHeight="1">
      <c r="A6" s="1280"/>
      <c r="B6" s="1280"/>
      <c r="C6" s="1280"/>
      <c r="D6" s="1280"/>
      <c r="E6" s="3200"/>
      <c r="F6" s="3200"/>
      <c r="G6" s="3200"/>
      <c r="H6" s="3200"/>
      <c r="I6" s="3197" t="e">
        <f>S5&amp;".1"</f>
        <v>#N/A</v>
      </c>
      <c r="J6" s="1280"/>
      <c r="K6" s="1280"/>
      <c r="L6" s="1281" t="s">
        <v>438</v>
      </c>
      <c r="M6" s="471"/>
      <c r="P6" s="3198">
        <v>1</v>
      </c>
      <c r="Q6" s="1248"/>
      <c r="R6" s="290"/>
      <c r="S6" s="1253" t="e">
        <f>$I6</f>
        <v>#N/A</v>
      </c>
      <c r="T6" s="220" t="s">
        <v>439</v>
      </c>
      <c r="U6" s="235"/>
      <c r="V6" s="3188"/>
      <c r="W6" s="3189"/>
      <c r="X6" s="3189"/>
      <c r="Y6" s="3189"/>
      <c r="Z6" s="3189"/>
      <c r="AA6" s="3189"/>
      <c r="AB6" s="3189"/>
      <c r="AC6" s="3190"/>
      <c r="AD6" s="3188"/>
      <c r="AE6" s="3189"/>
      <c r="AF6" s="3189"/>
      <c r="AG6" s="3189"/>
      <c r="AH6" s="3189"/>
      <c r="AI6" s="3189"/>
      <c r="AJ6" s="3189"/>
      <c r="AK6" s="3189"/>
      <c r="AL6" s="3188"/>
      <c r="AM6" s="3189"/>
      <c r="AN6" s="3189"/>
      <c r="AO6" s="3189"/>
      <c r="AP6" s="3189"/>
      <c r="AQ6" s="3189"/>
      <c r="AR6" s="3189"/>
      <c r="AS6" s="3190"/>
      <c r="AT6" s="3190"/>
      <c r="AU6" s="1175" t="s">
        <v>440</v>
      </c>
      <c r="AW6" s="434"/>
      <c r="AX6" s="434" t="str">
        <f t="shared" si="0"/>
        <v>Схема подключения теплопотребляющей установки к коллектору источника тепловой энергии</v>
      </c>
      <c r="AY6" s="434"/>
      <c r="AZ6" s="434"/>
      <c r="BA6" s="1072">
        <v>0</v>
      </c>
    </row>
    <row r="7" spans="1:53" ht="21" hidden="1" customHeight="1">
      <c r="A7" s="1280"/>
      <c r="B7" s="1280"/>
      <c r="C7" s="1280"/>
      <c r="D7" s="1280"/>
      <c r="E7" s="3200"/>
      <c r="F7" s="3200"/>
      <c r="G7" s="3200"/>
      <c r="H7" s="3200"/>
      <c r="I7" s="3220"/>
      <c r="J7" s="3197" t="e">
        <f>I6&amp;".1"</f>
        <v>#N/A</v>
      </c>
      <c r="K7" s="1280"/>
      <c r="L7" s="1281" t="s">
        <v>441</v>
      </c>
      <c r="M7" s="471"/>
      <c r="N7" s="1283"/>
      <c r="P7" s="3198"/>
      <c r="Q7" s="3198">
        <v>1</v>
      </c>
      <c r="R7" s="291"/>
      <c r="S7" s="1253" t="e">
        <f>$J7</f>
        <v>#N/A</v>
      </c>
      <c r="T7" s="221" t="s">
        <v>442</v>
      </c>
      <c r="U7" s="235"/>
      <c r="V7" s="3188"/>
      <c r="W7" s="3189"/>
      <c r="X7" s="3189"/>
      <c r="Y7" s="3189"/>
      <c r="Z7" s="3189"/>
      <c r="AA7" s="3189"/>
      <c r="AB7" s="3189"/>
      <c r="AC7" s="3190"/>
      <c r="AD7" s="3188"/>
      <c r="AE7" s="3189"/>
      <c r="AF7" s="3189"/>
      <c r="AG7" s="3189"/>
      <c r="AH7" s="3189"/>
      <c r="AI7" s="3189"/>
      <c r="AJ7" s="3189"/>
      <c r="AK7" s="3189"/>
      <c r="AL7" s="3188"/>
      <c r="AM7" s="3189"/>
      <c r="AN7" s="3189"/>
      <c r="AO7" s="3189"/>
      <c r="AP7" s="3189"/>
      <c r="AQ7" s="3189"/>
      <c r="AR7" s="3189"/>
      <c r="AS7" s="3190"/>
      <c r="AT7" s="3190"/>
      <c r="AU7" s="1175" t="s">
        <v>443</v>
      </c>
      <c r="AW7" s="434"/>
      <c r="AX7" s="434" t="str">
        <f t="shared" si="0"/>
        <v>Группа потребителей</v>
      </c>
      <c r="AY7" s="434"/>
      <c r="AZ7" s="434"/>
      <c r="BA7" s="1072">
        <v>0</v>
      </c>
    </row>
    <row r="8" spans="1:53" ht="21" hidden="1" customHeight="1">
      <c r="A8" s="1280"/>
      <c r="B8" s="1280"/>
      <c r="C8" s="1280"/>
      <c r="D8" s="1280"/>
      <c r="E8" s="3200"/>
      <c r="F8" s="3200"/>
      <c r="G8" s="3200"/>
      <c r="H8" s="3200"/>
      <c r="I8" s="3220"/>
      <c r="J8" s="3220"/>
      <c r="K8" s="3197" t="e">
        <f>J7&amp;".1"</f>
        <v>#N/A</v>
      </c>
      <c r="L8" s="1281" t="s">
        <v>444</v>
      </c>
      <c r="M8" s="471"/>
      <c r="N8" s="1283"/>
      <c r="O8" s="1283"/>
      <c r="P8" s="3198"/>
      <c r="Q8" s="3198"/>
      <c r="R8" s="291">
        <v>1</v>
      </c>
      <c r="S8" s="1253" t="e">
        <f>$K8</f>
        <v>#N/A</v>
      </c>
      <c r="T8" s="1264"/>
      <c r="U8" s="235"/>
      <c r="V8" s="685"/>
      <c r="W8" s="260"/>
      <c r="X8" s="685"/>
      <c r="Y8" s="1174"/>
      <c r="Z8" s="3202"/>
      <c r="AA8" s="3048" t="s">
        <v>67</v>
      </c>
      <c r="AB8" s="3202"/>
      <c r="AC8" s="3048" t="s">
        <v>67</v>
      </c>
      <c r="AD8" s="685"/>
      <c r="AE8" s="260"/>
      <c r="AF8" s="685"/>
      <c r="AG8" s="1174"/>
      <c r="AH8" s="3202"/>
      <c r="AI8" s="3048" t="s">
        <v>67</v>
      </c>
      <c r="AJ8" s="3202"/>
      <c r="AK8" s="3048" t="s">
        <v>67</v>
      </c>
      <c r="AL8" s="2220"/>
      <c r="AM8" s="2221"/>
      <c r="AN8" s="2220"/>
      <c r="AO8" s="2222"/>
      <c r="AP8" s="3202"/>
      <c r="AQ8" s="3048" t="s">
        <v>67</v>
      </c>
      <c r="AR8" s="3202"/>
      <c r="AS8" s="3048" t="s">
        <v>67</v>
      </c>
      <c r="AT8" s="260"/>
      <c r="AU8" s="3194" t="s">
        <v>445</v>
      </c>
      <c r="AV8" s="445" t="e">
        <f ca="1">STRCHECKDATE(V9:AT9)</f>
        <v>#NAME?</v>
      </c>
      <c r="AW8" s="434"/>
      <c r="AX8" s="434" t="str">
        <f t="shared" si="0"/>
        <v/>
      </c>
      <c r="AY8" s="434"/>
      <c r="AZ8" s="434"/>
      <c r="BA8" s="1072">
        <v>0</v>
      </c>
    </row>
    <row r="9" spans="1:53" ht="0.75" hidden="1" customHeight="1">
      <c r="A9" s="1280"/>
      <c r="B9" s="1280"/>
      <c r="C9" s="1280"/>
      <c r="D9" s="1280"/>
      <c r="E9" s="3200"/>
      <c r="F9" s="3200"/>
      <c r="G9" s="3200"/>
      <c r="H9" s="3200"/>
      <c r="I9" s="3220"/>
      <c r="J9" s="3220"/>
      <c r="K9" s="3197"/>
      <c r="L9" s="1281"/>
      <c r="M9" s="471"/>
      <c r="N9" s="1283"/>
      <c r="O9" s="1283"/>
      <c r="P9" s="3198"/>
      <c r="Q9" s="3198"/>
      <c r="R9" s="291"/>
      <c r="S9" s="1259"/>
      <c r="T9" s="235"/>
      <c r="U9" s="235"/>
      <c r="V9" s="260"/>
      <c r="W9" s="260"/>
      <c r="X9" s="260"/>
      <c r="Y9" s="263" t="str">
        <f>Z8&amp;"-"&amp;AB8</f>
        <v>-</v>
      </c>
      <c r="Z9" s="3203"/>
      <c r="AA9" s="3048"/>
      <c r="AB9" s="3203"/>
      <c r="AC9" s="3048"/>
      <c r="AD9" s="260"/>
      <c r="AE9" s="260"/>
      <c r="AF9" s="260"/>
      <c r="AG9" s="263" t="str">
        <f>AH8&amp;"-"&amp;AJ8</f>
        <v>-</v>
      </c>
      <c r="AH9" s="3203"/>
      <c r="AI9" s="3048"/>
      <c r="AJ9" s="3203"/>
      <c r="AK9" s="3048"/>
      <c r="AL9" s="2221"/>
      <c r="AM9" s="2221"/>
      <c r="AN9" s="2221"/>
      <c r="AO9" s="2223" t="str">
        <f>AP8&amp;"-"&amp;AR8</f>
        <v>-</v>
      </c>
      <c r="AP9" s="3203"/>
      <c r="AQ9" s="3048"/>
      <c r="AR9" s="3203"/>
      <c r="AS9" s="3048"/>
      <c r="AT9" s="260"/>
      <c r="AU9" s="3195"/>
      <c r="AW9" s="434"/>
      <c r="AX9" s="434" t="str">
        <f t="shared" si="0"/>
        <v/>
      </c>
      <c r="AY9" s="434"/>
      <c r="AZ9" s="434"/>
      <c r="BA9" s="1072">
        <v>0</v>
      </c>
    </row>
    <row r="10" spans="1:53" ht="15" hidden="1" customHeight="1">
      <c r="A10" s="1280"/>
      <c r="B10" s="1280"/>
      <c r="C10" s="1280"/>
      <c r="D10" s="1280"/>
      <c r="E10" s="3200"/>
      <c r="F10" s="3200"/>
      <c r="G10" s="3200"/>
      <c r="H10" s="3200"/>
      <c r="I10" s="3220"/>
      <c r="J10" s="3197"/>
      <c r="K10" s="1280"/>
      <c r="L10" s="1281"/>
      <c r="M10" s="471"/>
      <c r="N10" s="1283"/>
      <c r="P10" s="3198"/>
      <c r="Q10" s="3198"/>
      <c r="R10" s="290"/>
      <c r="S10" s="1195"/>
      <c r="T10" s="223" t="s">
        <v>446</v>
      </c>
      <c r="U10" s="301"/>
      <c r="V10" s="301"/>
      <c r="W10" s="301"/>
      <c r="X10" s="301"/>
      <c r="Y10" s="301"/>
      <c r="Z10" s="301"/>
      <c r="AA10" s="301"/>
      <c r="AB10" s="301"/>
      <c r="AC10" s="301"/>
      <c r="AD10" s="301"/>
      <c r="AE10" s="301"/>
      <c r="AF10" s="301"/>
      <c r="AG10" s="301"/>
      <c r="AH10" s="301"/>
      <c r="AI10" s="301"/>
      <c r="AJ10" s="301"/>
      <c r="AK10" s="301"/>
      <c r="AL10" s="2224"/>
      <c r="AM10" s="2225"/>
      <c r="AN10" s="2226"/>
      <c r="AO10" s="2227"/>
      <c r="AP10" s="2228"/>
      <c r="AQ10" s="2229"/>
      <c r="AR10" s="2230"/>
      <c r="AS10" s="2231"/>
      <c r="AT10" s="259"/>
      <c r="AU10" s="3196"/>
      <c r="AW10" s="434"/>
      <c r="AX10" s="434" t="str">
        <f t="shared" si="0"/>
        <v>Добавить вид теплоносителя (параметры теплоносителя)</v>
      </c>
      <c r="AY10" s="434"/>
      <c r="AZ10" s="434"/>
      <c r="BA10" s="1072">
        <v>0</v>
      </c>
    </row>
    <row r="11" spans="1:53" ht="15" hidden="1" customHeight="1">
      <c r="A11" s="1280"/>
      <c r="B11" s="1280"/>
      <c r="C11" s="1280"/>
      <c r="D11" s="1280"/>
      <c r="E11" s="3200"/>
      <c r="F11" s="3200"/>
      <c r="G11" s="3200"/>
      <c r="H11" s="3200"/>
      <c r="I11" s="3197"/>
      <c r="J11" s="1280"/>
      <c r="K11" s="1280"/>
      <c r="L11" s="1281"/>
      <c r="M11" s="471"/>
      <c r="P11" s="3198"/>
      <c r="Q11" s="1248"/>
      <c r="R11" s="290"/>
      <c r="S11" s="1195"/>
      <c r="T11" s="222" t="s">
        <v>447</v>
      </c>
      <c r="U11" s="301"/>
      <c r="V11" s="301"/>
      <c r="W11" s="301"/>
      <c r="X11" s="301"/>
      <c r="Y11" s="301"/>
      <c r="Z11" s="301"/>
      <c r="AA11" s="301"/>
      <c r="AB11" s="301"/>
      <c r="AC11" s="300"/>
      <c r="AD11" s="301"/>
      <c r="AE11" s="301"/>
      <c r="AF11" s="301"/>
      <c r="AG11" s="301"/>
      <c r="AH11" s="301"/>
      <c r="AI11" s="301"/>
      <c r="AJ11" s="301"/>
      <c r="AK11" s="300"/>
      <c r="AL11" s="2232"/>
      <c r="AM11" s="2233"/>
      <c r="AN11" s="2234"/>
      <c r="AO11" s="2235"/>
      <c r="AP11" s="2236"/>
      <c r="AQ11" s="2237"/>
      <c r="AR11" s="2238"/>
      <c r="AS11" s="2239"/>
      <c r="AT11" s="301"/>
      <c r="AU11" s="238"/>
      <c r="AW11" s="434"/>
      <c r="AX11" s="434" t="str">
        <f t="shared" si="0"/>
        <v>Добавить группу потребителей</v>
      </c>
      <c r="AY11" s="434"/>
      <c r="AZ11" s="434"/>
      <c r="BA11" s="1072">
        <v>0</v>
      </c>
    </row>
    <row r="12" spans="1:53" ht="14.25" hidden="1" customHeight="1">
      <c r="A12" s="1280"/>
      <c r="B12" s="1280"/>
      <c r="C12" s="1280"/>
      <c r="D12" s="1280"/>
      <c r="E12" s="3200"/>
      <c r="F12" s="3200"/>
      <c r="G12" s="3200"/>
      <c r="H12" s="3199"/>
      <c r="I12" s="1280"/>
      <c r="J12" s="1280"/>
      <c r="K12" s="1280"/>
      <c r="L12" s="1281"/>
      <c r="M12" s="1282"/>
      <c r="N12" s="1282"/>
      <c r="O12" s="471"/>
      <c r="P12" s="294"/>
      <c r="Q12" s="309"/>
      <c r="R12" s="289"/>
      <c r="S12" s="1195"/>
      <c r="T12" s="299" t="s">
        <v>448</v>
      </c>
      <c r="U12" s="301"/>
      <c r="V12" s="301"/>
      <c r="W12" s="301"/>
      <c r="X12" s="301"/>
      <c r="Y12" s="301"/>
      <c r="Z12" s="301"/>
      <c r="AA12" s="301"/>
      <c r="AB12" s="301"/>
      <c r="AC12" s="300"/>
      <c r="AD12" s="301"/>
      <c r="AE12" s="301"/>
      <c r="AF12" s="301"/>
      <c r="AG12" s="301"/>
      <c r="AH12" s="301"/>
      <c r="AI12" s="301"/>
      <c r="AJ12" s="301"/>
      <c r="AK12" s="300"/>
      <c r="AL12" s="2240"/>
      <c r="AM12" s="2241"/>
      <c r="AN12" s="2242"/>
      <c r="AO12" s="2243"/>
      <c r="AP12" s="2244"/>
      <c r="AQ12" s="2245"/>
      <c r="AR12" s="2246"/>
      <c r="AS12" s="2247"/>
      <c r="AT12" s="301"/>
      <c r="AU12" s="238"/>
      <c r="AW12" s="434"/>
      <c r="AX12" s="434" t="str">
        <f t="shared" si="0"/>
        <v>Добавить схему подключения</v>
      </c>
      <c r="AY12" s="434"/>
      <c r="AZ12" s="434"/>
      <c r="BA12" s="1072">
        <v>0</v>
      </c>
    </row>
    <row r="13" spans="1:53" s="2017" customFormat="1" ht="0.75" hidden="1" customHeight="1">
      <c r="A13" s="1231"/>
      <c r="B13" s="1231"/>
      <c r="C13" s="1231"/>
      <c r="D13" s="1231"/>
      <c r="E13" s="3200"/>
      <c r="F13" s="3200"/>
      <c r="G13" s="3199"/>
      <c r="H13" s="1231"/>
      <c r="I13" s="1231"/>
      <c r="J13" s="1231"/>
      <c r="K13" s="1231"/>
      <c r="L13" s="1256"/>
      <c r="M13" s="1232"/>
      <c r="N13" s="1232"/>
      <c r="P13" s="1233"/>
      <c r="Q13" s="1234"/>
      <c r="R13" s="1233"/>
      <c r="S13" s="1235"/>
      <c r="T13" s="1236" t="s">
        <v>180</v>
      </c>
      <c r="U13" s="1237"/>
      <c r="V13" s="1237"/>
      <c r="W13" s="1237"/>
      <c r="X13" s="1237"/>
      <c r="Y13" s="1237"/>
      <c r="Z13" s="1237"/>
      <c r="AA13" s="1237"/>
      <c r="AB13" s="1237"/>
      <c r="AC13" s="1237"/>
      <c r="AD13" s="1237"/>
      <c r="AE13" s="1237"/>
      <c r="AF13" s="1237"/>
      <c r="AG13" s="1237"/>
      <c r="AH13" s="1237"/>
      <c r="AI13" s="1237"/>
      <c r="AJ13" s="1237"/>
      <c r="AK13" s="1237"/>
      <c r="AL13" s="2248"/>
      <c r="AM13" s="2248"/>
      <c r="AN13" s="2248"/>
      <c r="AO13" s="2248"/>
      <c r="AP13" s="2248"/>
      <c r="AQ13" s="2248"/>
      <c r="AR13" s="2248"/>
      <c r="AS13" s="2248"/>
      <c r="AT13" s="1237"/>
      <c r="AU13" s="1237"/>
      <c r="AW13" s="717"/>
      <c r="AX13" s="717" t="str">
        <f t="shared" si="0"/>
        <v>Добавить источник для дифференциации</v>
      </c>
      <c r="AY13" s="717"/>
      <c r="AZ13" s="717"/>
      <c r="BA13" s="452">
        <v>0</v>
      </c>
    </row>
    <row r="14" spans="1:53" s="2017" customFormat="1" ht="0.75" hidden="1" customHeight="1">
      <c r="A14" s="1231"/>
      <c r="B14" s="1231"/>
      <c r="C14" s="1231"/>
      <c r="D14" s="1231"/>
      <c r="E14" s="3200"/>
      <c r="F14" s="3199"/>
      <c r="G14" s="1231"/>
      <c r="H14" s="1231"/>
      <c r="I14" s="1231"/>
      <c r="J14" s="1231"/>
      <c r="K14" s="1231"/>
      <c r="L14" s="1256"/>
      <c r="M14" s="1238"/>
      <c r="N14" s="1238"/>
      <c r="P14" s="1233"/>
      <c r="Q14" s="1234"/>
      <c r="R14" s="1233"/>
      <c r="S14" s="1239"/>
      <c r="T14" s="1240" t="s">
        <v>181</v>
      </c>
      <c r="U14" s="1241"/>
      <c r="V14" s="1241"/>
      <c r="W14" s="1241"/>
      <c r="X14" s="1241"/>
      <c r="Y14" s="1241"/>
      <c r="Z14" s="1241"/>
      <c r="AA14" s="1241"/>
      <c r="AB14" s="1241"/>
      <c r="AC14" s="1241"/>
      <c r="AD14" s="1241"/>
      <c r="AE14" s="1241"/>
      <c r="AF14" s="1241"/>
      <c r="AG14" s="1241"/>
      <c r="AH14" s="1241"/>
      <c r="AI14" s="1241"/>
      <c r="AJ14" s="1241"/>
      <c r="AK14" s="1241"/>
      <c r="AL14" s="2249"/>
      <c r="AM14" s="2249"/>
      <c r="AN14" s="2249"/>
      <c r="AO14" s="2249"/>
      <c r="AP14" s="2249"/>
      <c r="AQ14" s="2249"/>
      <c r="AR14" s="2249"/>
      <c r="AS14" s="2249"/>
      <c r="AT14" s="1241"/>
      <c r="AU14" s="1241"/>
      <c r="AW14" s="717"/>
      <c r="AX14" s="717" t="str">
        <f t="shared" si="0"/>
        <v>Добавить централизованную систему для дифференциации</v>
      </c>
      <c r="AY14" s="717"/>
      <c r="AZ14" s="717"/>
      <c r="BA14" s="452">
        <v>0</v>
      </c>
    </row>
    <row r="15" spans="1:53" s="2017" customFormat="1" ht="0.75" hidden="1" customHeight="1">
      <c r="A15" s="1231"/>
      <c r="B15" s="1231"/>
      <c r="C15" s="1231"/>
      <c r="D15" s="1231"/>
      <c r="E15" s="3199"/>
      <c r="F15" s="1231"/>
      <c r="G15" s="1231"/>
      <c r="H15" s="1231"/>
      <c r="I15" s="1231"/>
      <c r="J15" s="1231"/>
      <c r="K15" s="1231"/>
      <c r="L15" s="1256"/>
      <c r="M15" s="1238"/>
      <c r="N15" s="1238"/>
      <c r="P15" s="1233"/>
      <c r="Q15" s="1234"/>
      <c r="R15" s="1233"/>
      <c r="S15" s="1239"/>
      <c r="T15" s="1242" t="s">
        <v>188</v>
      </c>
      <c r="U15" s="1241"/>
      <c r="V15" s="1241"/>
      <c r="W15" s="1241"/>
      <c r="X15" s="1241"/>
      <c r="Y15" s="1241"/>
      <c r="Z15" s="1241"/>
      <c r="AA15" s="1241"/>
      <c r="AB15" s="1241"/>
      <c r="AC15" s="1241"/>
      <c r="AD15" s="1241"/>
      <c r="AE15" s="1241"/>
      <c r="AF15" s="1241"/>
      <c r="AG15" s="1241"/>
      <c r="AH15" s="1241"/>
      <c r="AI15" s="1241"/>
      <c r="AJ15" s="1241"/>
      <c r="AK15" s="1241"/>
      <c r="AL15" s="2249"/>
      <c r="AM15" s="2249"/>
      <c r="AN15" s="2249"/>
      <c r="AO15" s="2249"/>
      <c r="AP15" s="2249"/>
      <c r="AQ15" s="2249"/>
      <c r="AR15" s="2249"/>
      <c r="AS15" s="2249"/>
      <c r="AT15" s="1241"/>
      <c r="AU15" s="1241"/>
      <c r="AW15" s="717"/>
      <c r="AX15" s="717" t="str">
        <f t="shared" si="0"/>
        <v>Добавить территорию для дифференциации</v>
      </c>
      <c r="AY15" s="717"/>
      <c r="AZ15" s="717"/>
      <c r="BA15" s="452">
        <v>0</v>
      </c>
    </row>
    <row r="16" spans="1:53" ht="14.25" hidden="1" customHeight="1">
      <c r="AC16" s="262"/>
      <c r="AK16" s="262"/>
      <c r="AL16" s="2219"/>
      <c r="AM16" s="2219"/>
      <c r="AN16" s="2219"/>
      <c r="AO16" s="2219"/>
      <c r="AP16" s="2219"/>
      <c r="AQ16" s="2219"/>
      <c r="AR16" s="2219"/>
      <c r="AS16" s="2219"/>
      <c r="BA16" s="1072">
        <v>0</v>
      </c>
    </row>
    <row r="17" spans="1:53" ht="14.25" hidden="1" customHeight="1">
      <c r="AD17" s="1277"/>
      <c r="AE17" s="1277"/>
      <c r="AF17" s="1277"/>
      <c r="AG17" s="1278"/>
      <c r="AH17" s="3204"/>
      <c r="AI17" s="3205" t="s">
        <v>67</v>
      </c>
      <c r="AJ17" s="3204"/>
      <c r="AK17" s="3205" t="s">
        <v>67</v>
      </c>
      <c r="AL17" s="2219"/>
      <c r="AM17" s="2219"/>
      <c r="AN17" s="2219"/>
      <c r="AO17" s="2219"/>
      <c r="AP17" s="2219"/>
      <c r="AQ17" s="2219"/>
      <c r="AR17" s="2219"/>
      <c r="AS17" s="2219"/>
      <c r="BA17" s="1072">
        <v>0</v>
      </c>
    </row>
    <row r="18" spans="1:53" ht="14.25" hidden="1" customHeight="1">
      <c r="AD18" s="1277"/>
      <c r="AE18" s="1277"/>
      <c r="AF18" s="1277"/>
      <c r="AG18" s="263" t="str">
        <f>AH17&amp;"-"&amp;AJ17</f>
        <v>-</v>
      </c>
      <c r="AH18" s="3205"/>
      <c r="AI18" s="3205"/>
      <c r="AJ18" s="3205"/>
      <c r="AK18" s="3205"/>
      <c r="AL18" s="2219"/>
      <c r="AM18" s="2219"/>
      <c r="AN18" s="2219"/>
      <c r="AO18" s="2219"/>
      <c r="AP18" s="2219"/>
      <c r="AQ18" s="2219"/>
      <c r="AR18" s="2219"/>
      <c r="AS18" s="2219"/>
      <c r="BA18" s="1072">
        <v>0</v>
      </c>
    </row>
    <row r="19" spans="1:53" ht="14.25" hidden="1" customHeight="1">
      <c r="AK19" s="262"/>
      <c r="AL19" s="2219"/>
      <c r="AM19" s="2219"/>
      <c r="AN19" s="2219"/>
      <c r="AO19" s="2219"/>
      <c r="AP19" s="2219"/>
      <c r="AQ19" s="2219"/>
      <c r="AR19" s="2219"/>
      <c r="AS19" s="2219"/>
      <c r="BA19" s="1072">
        <v>0</v>
      </c>
    </row>
    <row r="20" spans="1:53" s="2016" customFormat="1" ht="22.5" hidden="1" customHeight="1">
      <c r="L20" s="1246"/>
      <c r="M20" s="1279"/>
      <c r="N20" s="1279"/>
      <c r="O20" s="1284" t="s">
        <v>449</v>
      </c>
      <c r="P20" s="1279"/>
      <c r="Q20" s="1288"/>
      <c r="R20" s="1288"/>
      <c r="S20" s="663"/>
      <c r="Z20" s="1284"/>
      <c r="AB20" s="1284"/>
      <c r="AC20" s="1283"/>
      <c r="AH20" s="1284"/>
      <c r="AJ20" s="1284"/>
      <c r="AK20" s="1283"/>
      <c r="AL20" s="2250"/>
      <c r="AM20" s="2250"/>
      <c r="AN20" s="2250"/>
      <c r="AO20" s="2250"/>
      <c r="AP20" s="2251"/>
      <c r="AQ20" s="2250"/>
      <c r="AR20" s="2251"/>
      <c r="AS20" s="2250"/>
      <c r="AV20" s="445"/>
      <c r="AW20" s="445"/>
      <c r="AX20" s="445"/>
      <c r="AY20" s="445"/>
      <c r="AZ20" s="445"/>
      <c r="BA20" s="1077">
        <v>0</v>
      </c>
    </row>
    <row r="21" spans="1:53" s="2016" customFormat="1" ht="14.25" hidden="1" customHeight="1">
      <c r="L21" s="1246"/>
      <c r="M21" s="1279"/>
      <c r="N21" s="1279"/>
      <c r="O21" s="1279"/>
      <c r="P21" s="1279"/>
      <c r="Q21" s="1288"/>
      <c r="R21" s="1288"/>
      <c r="S21" s="663"/>
      <c r="AC21" s="1283"/>
      <c r="AK21" s="1283"/>
      <c r="AL21" s="2250"/>
      <c r="AM21" s="2250"/>
      <c r="AN21" s="2250"/>
      <c r="AO21" s="2250"/>
      <c r="AP21" s="2250"/>
      <c r="AQ21" s="2250"/>
      <c r="AR21" s="2250"/>
      <c r="AS21" s="2250"/>
      <c r="AV21" s="445"/>
      <c r="AW21" s="445"/>
      <c r="AX21" s="445"/>
      <c r="AY21" s="445"/>
      <c r="AZ21" s="445"/>
      <c r="BA21" s="1077">
        <v>0</v>
      </c>
    </row>
    <row r="22" spans="1:53" s="2016" customFormat="1" ht="14.25" hidden="1" customHeight="1">
      <c r="L22" s="1246"/>
      <c r="M22" s="1279"/>
      <c r="N22" s="1279"/>
      <c r="O22" s="1281" t="s">
        <v>450</v>
      </c>
      <c r="P22" s="1279"/>
      <c r="Q22" s="1288"/>
      <c r="R22" s="1288"/>
      <c r="S22" s="663"/>
      <c r="T22" s="1077" t="s">
        <v>451</v>
      </c>
      <c r="AA22" s="121" t="s">
        <v>452</v>
      </c>
      <c r="AC22" s="121" t="s">
        <v>453</v>
      </c>
      <c r="AD22" s="1077" t="s">
        <v>451</v>
      </c>
      <c r="AI22" s="121" t="s">
        <v>454</v>
      </c>
      <c r="AK22" s="121" t="s">
        <v>453</v>
      </c>
      <c r="AL22" s="2250"/>
      <c r="AM22" s="2250"/>
      <c r="AN22" s="2250"/>
      <c r="AO22" s="2250"/>
      <c r="AP22" s="2250"/>
      <c r="AQ22" s="2252" t="s">
        <v>452</v>
      </c>
      <c r="AR22" s="2250"/>
      <c r="AS22" s="2252" t="s">
        <v>453</v>
      </c>
      <c r="AV22" s="445"/>
      <c r="AW22" s="445"/>
      <c r="AX22" s="445"/>
      <c r="AY22" s="445"/>
      <c r="AZ22" s="445"/>
      <c r="BA22" s="1077">
        <v>0</v>
      </c>
    </row>
    <row r="23" spans="1:53" ht="14.25" hidden="1" customHeight="1">
      <c r="O23" s="1281"/>
      <c r="AL23" s="2219"/>
      <c r="AM23" s="2219"/>
      <c r="AN23" s="2219"/>
      <c r="AO23" s="2219"/>
      <c r="AP23" s="2219"/>
      <c r="AQ23" s="2219"/>
      <c r="AR23" s="2219"/>
      <c r="AS23" s="2219"/>
      <c r="BA23" s="1072">
        <v>0</v>
      </c>
    </row>
    <row r="24" spans="1:53" ht="14.25" hidden="1" customHeight="1">
      <c r="O24" s="1281"/>
      <c r="AL24" s="2219"/>
      <c r="AM24" s="2219"/>
      <c r="AN24" s="2219"/>
      <c r="AO24" s="2219"/>
      <c r="AP24" s="2219"/>
      <c r="AQ24" s="2219"/>
      <c r="AR24" s="2219"/>
      <c r="AS24" s="2219"/>
      <c r="BA24" s="1072">
        <v>0</v>
      </c>
    </row>
    <row r="25" spans="1:53" ht="14.65" customHeight="1">
      <c r="Q25" s="310"/>
      <c r="R25" s="310"/>
      <c r="S25" s="1192"/>
      <c r="T25" s="297"/>
      <c r="U25" s="297"/>
      <c r="V25" s="443"/>
      <c r="W25" s="443"/>
      <c r="X25" s="443"/>
      <c r="Y25" s="443"/>
      <c r="Z25" s="443"/>
      <c r="AA25" s="443"/>
      <c r="AB25" s="443"/>
      <c r="AC25" s="443"/>
      <c r="AD25" s="443"/>
      <c r="AE25" s="443"/>
      <c r="AF25" s="443"/>
      <c r="AG25" s="443"/>
      <c r="AH25" s="443"/>
      <c r="AI25" s="443"/>
      <c r="AJ25" s="443"/>
      <c r="AK25" s="443"/>
      <c r="AL25" s="2219"/>
      <c r="AM25" s="2219"/>
      <c r="AN25" s="2219"/>
      <c r="AO25" s="2219"/>
      <c r="AP25" s="2219"/>
      <c r="AQ25" s="2219"/>
      <c r="AR25" s="2219"/>
      <c r="AS25" s="2219"/>
      <c r="BA25" s="1072">
        <v>14</v>
      </c>
    </row>
    <row r="26" spans="1:53" ht="14.65" customHeight="1">
      <c r="Q26" s="310"/>
      <c r="R26" s="310"/>
      <c r="S26" s="3183"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3183"/>
      <c r="U26" s="3183"/>
      <c r="V26" s="3183"/>
      <c r="W26" s="3183"/>
      <c r="X26" s="3183"/>
      <c r="Y26" s="3183"/>
      <c r="Z26" s="3183"/>
      <c r="AA26" s="3183"/>
      <c r="AB26" s="3183"/>
      <c r="AC26" s="3183"/>
      <c r="AD26" s="3183"/>
      <c r="AE26" s="3183"/>
      <c r="AF26" s="3183"/>
      <c r="AG26" s="3183"/>
      <c r="AH26" s="3183"/>
      <c r="AI26" s="3183"/>
      <c r="AJ26" s="3183"/>
      <c r="AK26" s="1160"/>
      <c r="AL26" s="2253"/>
      <c r="AM26" s="2253"/>
      <c r="AN26" s="2253"/>
      <c r="AO26" s="2253"/>
      <c r="AP26" s="2253"/>
      <c r="AQ26" s="2253"/>
      <c r="AR26" s="2253"/>
      <c r="AS26" s="2253"/>
      <c r="BA26" s="1072">
        <v>14</v>
      </c>
    </row>
    <row r="27" spans="1:53" ht="14.65" customHeight="1">
      <c r="Q27" s="310"/>
      <c r="R27" s="310"/>
      <c r="S27" s="3131" t="str">
        <f>IF(org=0,"Не определено",org)</f>
        <v>ООО "РСО"</v>
      </c>
      <c r="T27" s="3131"/>
      <c r="U27" s="3131"/>
      <c r="V27" s="3131"/>
      <c r="W27" s="3131"/>
      <c r="X27" s="3131"/>
      <c r="Y27" s="3131"/>
      <c r="Z27" s="3131"/>
      <c r="AA27" s="3131"/>
      <c r="AB27" s="3131"/>
      <c r="AC27" s="3131"/>
      <c r="AD27" s="3131"/>
      <c r="AE27" s="3131"/>
      <c r="AF27" s="3131"/>
      <c r="AG27" s="3131"/>
      <c r="AH27" s="3131"/>
      <c r="AI27" s="3131"/>
      <c r="AJ27" s="3131"/>
      <c r="AK27" s="1160"/>
      <c r="AL27" s="2254"/>
      <c r="AM27" s="2254"/>
      <c r="AN27" s="2254"/>
      <c r="AO27" s="2254"/>
      <c r="AP27" s="2254"/>
      <c r="AQ27" s="2254"/>
      <c r="AR27" s="2254"/>
      <c r="AS27" s="2254"/>
      <c r="BA27" s="1072">
        <v>14</v>
      </c>
    </row>
    <row r="28" spans="1:53" ht="14.25" hidden="1" customHeight="1">
      <c r="Q28" s="310"/>
      <c r="R28" s="310"/>
      <c r="S28" s="1192"/>
      <c r="T28" s="297"/>
      <c r="U28" s="297"/>
      <c r="V28" s="257"/>
      <c r="W28" s="257"/>
      <c r="X28" s="257"/>
      <c r="Y28" s="257"/>
      <c r="Z28" s="257"/>
      <c r="AA28" s="257"/>
      <c r="AB28" s="257"/>
      <c r="AC28" s="257"/>
      <c r="AD28" s="257"/>
      <c r="AE28" s="257"/>
      <c r="AF28" s="257"/>
      <c r="AG28" s="257"/>
      <c r="AH28" s="257"/>
      <c r="AI28" s="257"/>
      <c r="AJ28" s="257"/>
      <c r="AK28" s="257"/>
      <c r="AL28" s="2255"/>
      <c r="AM28" s="2255"/>
      <c r="AN28" s="2255"/>
      <c r="AO28" s="2255"/>
      <c r="AP28" s="2255"/>
      <c r="AQ28" s="2255"/>
      <c r="AR28" s="2255"/>
      <c r="AS28" s="2255"/>
      <c r="AT28" s="443"/>
      <c r="BA28" s="1072">
        <v>0</v>
      </c>
    </row>
    <row r="29" spans="1:53" s="2028" customFormat="1" ht="25.5" hidden="1" customHeight="1">
      <c r="A29" s="1285"/>
      <c r="B29" s="1285"/>
      <c r="C29" s="1285"/>
      <c r="D29" s="1285"/>
      <c r="E29" s="1285"/>
      <c r="F29" s="1285"/>
      <c r="G29" s="1285"/>
      <c r="H29" s="1285"/>
      <c r="I29" s="1285"/>
      <c r="J29" s="1285"/>
      <c r="K29" s="1285"/>
      <c r="L29" s="1286"/>
      <c r="M29" s="1285"/>
      <c r="N29" s="1285"/>
      <c r="O29" s="1285"/>
      <c r="S29" s="3191" t="s">
        <v>42</v>
      </c>
      <c r="T29" s="3191"/>
      <c r="U29" s="1289"/>
      <c r="V29" s="3192" t="str">
        <f>IF(TITLE_NAME_OR_PR_CHANGE="",IF(TITLE_NAME_OR_PR="","",TITLE_NAME_OR_PR),TITLE_NAME_OR_PR_CHANGE)</f>
        <v/>
      </c>
      <c r="W29" s="3192"/>
      <c r="X29" s="3192"/>
      <c r="Y29" s="3192"/>
      <c r="Z29" s="3192"/>
      <c r="AA29" s="3192"/>
      <c r="AB29" s="3192"/>
      <c r="AC29" s="261"/>
      <c r="AD29" s="3192" t="str">
        <f>IF(TITLE_NAME_OR_PR_CHANGE="",IF(TITLE_NAME_OR_PR="","",TITLE_NAME_OR_PR),TITLE_NAME_OR_PR_CHANGE)</f>
        <v/>
      </c>
      <c r="AE29" s="3192"/>
      <c r="AF29" s="3192"/>
      <c r="AG29" s="3192"/>
      <c r="AH29" s="3192"/>
      <c r="AI29" s="3192"/>
      <c r="AJ29" s="3192"/>
      <c r="AK29" s="261"/>
      <c r="AL29" s="3192" t="str">
        <f>IF(TITLE_NAME_OR_PR_CHANGE="",IF(TITLE_NAME_OR_PR="","",TITLE_NAME_OR_PR),TITLE_NAME_OR_PR_CHANGE)</f>
        <v/>
      </c>
      <c r="AM29" s="3192"/>
      <c r="AN29" s="3192"/>
      <c r="AO29" s="3192"/>
      <c r="AP29" s="3192"/>
      <c r="AQ29" s="3192"/>
      <c r="AR29" s="3192"/>
      <c r="AS29" s="2219"/>
      <c r="AT29" s="261"/>
      <c r="AU29" s="215"/>
      <c r="AV29" s="302"/>
      <c r="AW29" s="302"/>
      <c r="AX29" s="302"/>
      <c r="AY29" s="302"/>
      <c r="AZ29" s="302"/>
      <c r="BA29" s="352">
        <v>0</v>
      </c>
    </row>
    <row r="30" spans="1:53" s="2028" customFormat="1" ht="18.75" hidden="1" customHeight="1">
      <c r="A30" s="1285"/>
      <c r="B30" s="1285"/>
      <c r="C30" s="1285"/>
      <c r="D30" s="1285"/>
      <c r="E30" s="1285"/>
      <c r="F30" s="1285"/>
      <c r="G30" s="1285"/>
      <c r="H30" s="1285"/>
      <c r="I30" s="1285"/>
      <c r="J30" s="1285"/>
      <c r="K30" s="1285"/>
      <c r="L30" s="1286"/>
      <c r="M30" s="1285"/>
      <c r="N30" s="1285"/>
      <c r="O30" s="1285"/>
      <c r="S30" s="3191" t="s">
        <v>455</v>
      </c>
      <c r="T30" s="3191"/>
      <c r="U30" s="1289"/>
      <c r="V30" s="3201">
        <f>IF(TITLE_DATE_PR_CHANGE="",IF(TITLE_DATE_PR="","",TITLE_DATE_PR),TITLE_DATE_PR_CHANGE)</f>
        <v>45408</v>
      </c>
      <c r="W30" s="3201"/>
      <c r="X30" s="3201"/>
      <c r="Y30" s="3201"/>
      <c r="Z30" s="3201"/>
      <c r="AA30" s="3201"/>
      <c r="AB30" s="3201"/>
      <c r="AC30" s="261"/>
      <c r="AD30" s="3201">
        <f>IF(TITLE_DATE_PR_CHANGE="",IF(TITLE_DATE_PR="","",TITLE_DATE_PR),TITLE_DATE_PR_CHANGE)</f>
        <v>45408</v>
      </c>
      <c r="AE30" s="3201"/>
      <c r="AF30" s="3201"/>
      <c r="AG30" s="3201"/>
      <c r="AH30" s="3201"/>
      <c r="AI30" s="3201"/>
      <c r="AJ30" s="3201"/>
      <c r="AK30" s="261"/>
      <c r="AL30" s="3201">
        <f>IF(TITLE_DATE_PR_CHANGE="",IF(TITLE_DATE_PR="","",TITLE_DATE_PR),TITLE_DATE_PR_CHANGE)</f>
        <v>45408</v>
      </c>
      <c r="AM30" s="3201"/>
      <c r="AN30" s="3201"/>
      <c r="AO30" s="3201"/>
      <c r="AP30" s="3201"/>
      <c r="AQ30" s="3201"/>
      <c r="AR30" s="3201"/>
      <c r="AS30" s="2219"/>
      <c r="AT30" s="261"/>
      <c r="AU30" s="215"/>
      <c r="AV30" s="302"/>
      <c r="AW30" s="302"/>
      <c r="AX30" s="302"/>
      <c r="AY30" s="302"/>
      <c r="AZ30" s="302"/>
      <c r="BA30" s="352">
        <v>0</v>
      </c>
    </row>
    <row r="31" spans="1:53" s="2028" customFormat="1" ht="18.75" hidden="1" customHeight="1">
      <c r="A31" s="1285"/>
      <c r="B31" s="1285"/>
      <c r="C31" s="1285"/>
      <c r="D31" s="1285"/>
      <c r="E31" s="1285"/>
      <c r="F31" s="1285"/>
      <c r="G31" s="1285"/>
      <c r="H31" s="1285"/>
      <c r="I31" s="1285"/>
      <c r="J31" s="1285"/>
      <c r="K31" s="1285"/>
      <c r="L31" s="1286"/>
      <c r="M31" s="1285"/>
      <c r="N31" s="1285"/>
      <c r="O31" s="1285"/>
      <c r="S31" s="3191" t="s">
        <v>456</v>
      </c>
      <c r="T31" s="3191"/>
      <c r="U31" s="1289"/>
      <c r="V31" s="3192" t="str">
        <f>IF(TITLE_NUMBER_PR_CHANGE="",IF(TITLE_NUMBER_PR="","",TITLE_NUMBER_PR),TITLE_NUMBER_PR_CHANGE)</f>
        <v>04-24/132, 04-24/131</v>
      </c>
      <c r="W31" s="3192"/>
      <c r="X31" s="3192"/>
      <c r="Y31" s="3192"/>
      <c r="Z31" s="3192"/>
      <c r="AA31" s="3192"/>
      <c r="AB31" s="3192"/>
      <c r="AC31" s="261"/>
      <c r="AD31" s="3192" t="str">
        <f>IF(TITLE_NUMBER_PR_CHANGE="",IF(TITLE_NUMBER_PR="","",TITLE_NUMBER_PR),TITLE_NUMBER_PR_CHANGE)</f>
        <v>04-24/132, 04-24/131</v>
      </c>
      <c r="AE31" s="3192"/>
      <c r="AF31" s="3192"/>
      <c r="AG31" s="3192"/>
      <c r="AH31" s="3192"/>
      <c r="AI31" s="3192"/>
      <c r="AJ31" s="3192"/>
      <c r="AK31" s="261"/>
      <c r="AL31" s="3192" t="str">
        <f>IF(TITLE_NUMBER_PR_CHANGE="",IF(TITLE_NUMBER_PR="","",TITLE_NUMBER_PR),TITLE_NUMBER_PR_CHANGE)</f>
        <v>04-24/132, 04-24/131</v>
      </c>
      <c r="AM31" s="3192"/>
      <c r="AN31" s="3192"/>
      <c r="AO31" s="3192"/>
      <c r="AP31" s="3192"/>
      <c r="AQ31" s="3192"/>
      <c r="AR31" s="3192"/>
      <c r="AS31" s="2219"/>
      <c r="AT31" s="261"/>
      <c r="AU31" s="215"/>
      <c r="AV31" s="302"/>
      <c r="AW31" s="302"/>
      <c r="AX31" s="302"/>
      <c r="AY31" s="302"/>
      <c r="AZ31" s="302"/>
      <c r="BA31" s="352">
        <v>0</v>
      </c>
    </row>
    <row r="32" spans="1:53" s="2028" customFormat="1" ht="18.75" hidden="1" customHeight="1">
      <c r="A32" s="1285"/>
      <c r="B32" s="1285"/>
      <c r="C32" s="1285"/>
      <c r="D32" s="1285"/>
      <c r="E32" s="1285"/>
      <c r="F32" s="1285"/>
      <c r="G32" s="1285"/>
      <c r="H32" s="1285"/>
      <c r="I32" s="1285"/>
      <c r="J32" s="1285"/>
      <c r="K32" s="1285"/>
      <c r="L32" s="1286"/>
      <c r="M32" s="1285"/>
      <c r="N32" s="1285"/>
      <c r="O32" s="1285"/>
      <c r="S32" s="3191" t="s">
        <v>43</v>
      </c>
      <c r="T32" s="3191"/>
      <c r="U32" s="1289"/>
      <c r="V32" s="3192" t="str">
        <f>IF(TITLE_IST_PUB_CHANGE="",IF(TITLE_IST_PUB="","",TITLE_IST_PUB),TITLE_IST_PUB_CHANGE)</f>
        <v/>
      </c>
      <c r="W32" s="3192"/>
      <c r="X32" s="3192"/>
      <c r="Y32" s="3192"/>
      <c r="Z32" s="3192"/>
      <c r="AA32" s="3192"/>
      <c r="AB32" s="3192"/>
      <c r="AC32" s="261"/>
      <c r="AD32" s="3192" t="str">
        <f>IF(TITLE_IST_PUB_CHANGE="",IF(TITLE_IST_PUB="","",TITLE_IST_PUB),TITLE_IST_PUB_CHANGE)</f>
        <v/>
      </c>
      <c r="AE32" s="3192"/>
      <c r="AF32" s="3192"/>
      <c r="AG32" s="3192"/>
      <c r="AH32" s="3192"/>
      <c r="AI32" s="3192"/>
      <c r="AJ32" s="3192"/>
      <c r="AK32" s="261"/>
      <c r="AL32" s="3192" t="str">
        <f>IF(TITLE_IST_PUB_CHANGE="",IF(TITLE_IST_PUB="","",TITLE_IST_PUB),TITLE_IST_PUB_CHANGE)</f>
        <v/>
      </c>
      <c r="AM32" s="3192"/>
      <c r="AN32" s="3192"/>
      <c r="AO32" s="3192"/>
      <c r="AP32" s="3192"/>
      <c r="AQ32" s="3192"/>
      <c r="AR32" s="3192"/>
      <c r="AS32" s="2219"/>
      <c r="AT32" s="261"/>
      <c r="AU32" s="215"/>
      <c r="AV32" s="302"/>
      <c r="AW32" s="302"/>
      <c r="AX32" s="302"/>
      <c r="AY32" s="302"/>
      <c r="AZ32" s="302"/>
      <c r="BA32" s="352">
        <v>0</v>
      </c>
    </row>
    <row r="33" spans="1:53" ht="14.25" customHeight="1">
      <c r="Q33" s="310"/>
      <c r="R33" s="310"/>
      <c r="S33" s="1192"/>
      <c r="T33" s="297"/>
      <c r="U33" s="297"/>
      <c r="V33" s="257"/>
      <c r="W33" s="257"/>
      <c r="X33" s="257"/>
      <c r="Y33" s="257"/>
      <c r="Z33" s="257"/>
      <c r="AA33" s="257"/>
      <c r="AB33" s="257"/>
      <c r="AC33" s="257"/>
      <c r="AD33" s="257"/>
      <c r="AE33" s="257"/>
      <c r="AF33" s="257"/>
      <c r="AG33" s="257"/>
      <c r="AH33" s="257"/>
      <c r="AI33" s="257"/>
      <c r="AJ33" s="257"/>
      <c r="AK33" s="257"/>
      <c r="AL33" s="2255"/>
      <c r="AM33" s="2255"/>
      <c r="AN33" s="2255"/>
      <c r="AO33" s="2255"/>
      <c r="AP33" s="2255"/>
      <c r="AQ33" s="2255"/>
      <c r="AR33" s="2255"/>
      <c r="AS33" s="2255"/>
      <c r="AT33" s="443"/>
      <c r="BA33" s="1072">
        <v>0</v>
      </c>
    </row>
    <row r="34" spans="1:53" s="2028" customFormat="1" ht="18.75" customHeight="1">
      <c r="A34" s="1285"/>
      <c r="B34" s="1285"/>
      <c r="C34" s="1285"/>
      <c r="D34" s="1285"/>
      <c r="E34" s="1285"/>
      <c r="F34" s="1285"/>
      <c r="G34" s="1285"/>
      <c r="H34" s="1285"/>
      <c r="I34" s="1285"/>
      <c r="J34" s="1285"/>
      <c r="K34" s="1285"/>
      <c r="L34" s="1286"/>
      <c r="M34" s="1285"/>
      <c r="N34" s="1285"/>
      <c r="O34" s="1285"/>
      <c r="S34" s="3191" t="s">
        <v>457</v>
      </c>
      <c r="T34" s="3191"/>
      <c r="U34" s="1289"/>
      <c r="V34" s="3201">
        <f>IF(TITLE_DATE_PR_CHANGE="",IF(TITLE_DATE_PR="","",TITLE_DATE_PR),TITLE_DATE_PR_CHANGE)</f>
        <v>45408</v>
      </c>
      <c r="W34" s="3201"/>
      <c r="X34" s="3201"/>
      <c r="Y34" s="3201"/>
      <c r="Z34" s="3201"/>
      <c r="AA34" s="3201"/>
      <c r="AB34" s="3201"/>
      <c r="AC34" s="261"/>
      <c r="AD34" s="3201">
        <f>IF(TITLE_DATE_PR_CHANGE="",IF(TITLE_DATE_PR="","",TITLE_DATE_PR),TITLE_DATE_PR_CHANGE)</f>
        <v>45408</v>
      </c>
      <c r="AE34" s="3201"/>
      <c r="AF34" s="3201"/>
      <c r="AG34" s="3201"/>
      <c r="AH34" s="3201"/>
      <c r="AI34" s="3201"/>
      <c r="AJ34" s="3201"/>
      <c r="AK34" s="261"/>
      <c r="AL34" s="3201">
        <f>IF(TITLE_DATE_PR_CHANGE="",IF(TITLE_DATE_PR="","",TITLE_DATE_PR),TITLE_DATE_PR_CHANGE)</f>
        <v>45408</v>
      </c>
      <c r="AM34" s="3201"/>
      <c r="AN34" s="3201"/>
      <c r="AO34" s="3201"/>
      <c r="AP34" s="3201"/>
      <c r="AQ34" s="3201"/>
      <c r="AR34" s="3201"/>
      <c r="AS34" s="2219"/>
      <c r="AT34" s="261"/>
      <c r="AU34" s="215"/>
      <c r="AV34" s="302"/>
      <c r="AW34" s="302"/>
      <c r="AX34" s="302"/>
      <c r="AY34" s="302"/>
      <c r="AZ34" s="302"/>
      <c r="BA34" s="352">
        <v>0</v>
      </c>
    </row>
    <row r="35" spans="1:53" s="2028" customFormat="1" ht="18.75" customHeight="1">
      <c r="A35" s="1285"/>
      <c r="B35" s="1285"/>
      <c r="C35" s="1285"/>
      <c r="D35" s="1285"/>
      <c r="E35" s="1285"/>
      <c r="F35" s="1285"/>
      <c r="G35" s="1285"/>
      <c r="H35" s="1285"/>
      <c r="I35" s="1285"/>
      <c r="J35" s="1285"/>
      <c r="K35" s="1285"/>
      <c r="L35" s="1286"/>
      <c r="M35" s="1285"/>
      <c r="N35" s="1285"/>
      <c r="O35" s="1285"/>
      <c r="S35" s="3191" t="s">
        <v>458</v>
      </c>
      <c r="T35" s="3191"/>
      <c r="U35" s="1289"/>
      <c r="V35" s="3192" t="str">
        <f>IF(TITLE_NUMBER_PR_CHANGE="",IF(TITLE_NUMBER_PR="","",TITLE_NUMBER_PR),TITLE_NUMBER_PR_CHANGE)</f>
        <v>04-24/132, 04-24/131</v>
      </c>
      <c r="W35" s="3192"/>
      <c r="X35" s="3192"/>
      <c r="Y35" s="3192"/>
      <c r="Z35" s="3192"/>
      <c r="AA35" s="3192"/>
      <c r="AB35" s="3192"/>
      <c r="AC35" s="261"/>
      <c r="AD35" s="3192" t="str">
        <f>IF(TITLE_NUMBER_PR_CHANGE="",IF(TITLE_NUMBER_PR="","",TITLE_NUMBER_PR),TITLE_NUMBER_PR_CHANGE)</f>
        <v>04-24/132, 04-24/131</v>
      </c>
      <c r="AE35" s="3192"/>
      <c r="AF35" s="3192"/>
      <c r="AG35" s="3192"/>
      <c r="AH35" s="3192"/>
      <c r="AI35" s="3192"/>
      <c r="AJ35" s="3192"/>
      <c r="AK35" s="261"/>
      <c r="AL35" s="3192" t="str">
        <f>IF(TITLE_NUMBER_PR_CHANGE="",IF(TITLE_NUMBER_PR="","",TITLE_NUMBER_PR),TITLE_NUMBER_PR_CHANGE)</f>
        <v>04-24/132, 04-24/131</v>
      </c>
      <c r="AM35" s="3192"/>
      <c r="AN35" s="3192"/>
      <c r="AO35" s="3192"/>
      <c r="AP35" s="3192"/>
      <c r="AQ35" s="3192"/>
      <c r="AR35" s="3192"/>
      <c r="AS35" s="2219"/>
      <c r="AT35" s="261"/>
      <c r="AU35" s="215"/>
      <c r="AV35" s="302"/>
      <c r="AW35" s="302"/>
      <c r="AX35" s="302"/>
      <c r="AY35" s="302"/>
      <c r="AZ35" s="302"/>
      <c r="BA35" s="352">
        <v>0</v>
      </c>
    </row>
    <row r="36" spans="1:53" s="2028" customFormat="1" ht="0" hidden="1" customHeight="1">
      <c r="A36" s="1285"/>
      <c r="B36" s="1285"/>
      <c r="C36" s="1285"/>
      <c r="D36" s="1285"/>
      <c r="E36" s="1285"/>
      <c r="F36" s="1285"/>
      <c r="G36" s="1285"/>
      <c r="H36" s="1285"/>
      <c r="I36" s="1285"/>
      <c r="J36" s="1285"/>
      <c r="K36" s="1285"/>
      <c r="L36" s="1286"/>
      <c r="M36" s="1285"/>
      <c r="N36" s="1285"/>
      <c r="O36" s="1285"/>
      <c r="S36" s="258"/>
      <c r="T36" s="258"/>
      <c r="U36" s="1257"/>
      <c r="V36" s="261"/>
      <c r="W36" s="261"/>
      <c r="X36" s="261"/>
      <c r="Y36" s="261"/>
      <c r="Z36" s="261"/>
      <c r="AA36" s="261"/>
      <c r="AB36" s="261"/>
      <c r="AC36" s="213" t="s">
        <v>459</v>
      </c>
      <c r="AD36" s="261"/>
      <c r="AE36" s="261"/>
      <c r="AF36" s="261"/>
      <c r="AG36" s="261"/>
      <c r="AH36" s="261"/>
      <c r="AI36" s="261"/>
      <c r="AJ36" s="261"/>
      <c r="AK36" s="213" t="s">
        <v>459</v>
      </c>
      <c r="AL36" s="2219"/>
      <c r="AM36" s="2219"/>
      <c r="AN36" s="2219"/>
      <c r="AO36" s="2219"/>
      <c r="AP36" s="2219"/>
      <c r="AQ36" s="2219"/>
      <c r="AR36" s="2219"/>
      <c r="AS36" s="2256" t="s">
        <v>459</v>
      </c>
      <c r="AV36" s="302"/>
      <c r="AW36" s="302"/>
      <c r="AX36" s="302"/>
      <c r="AY36" s="302"/>
      <c r="AZ36" s="302"/>
      <c r="BA36" s="352">
        <v>0</v>
      </c>
    </row>
    <row r="37" spans="1:53" ht="14.65" customHeight="1">
      <c r="Q37" s="310"/>
      <c r="R37" s="310"/>
      <c r="S37" s="1192"/>
      <c r="T37" s="297"/>
      <c r="U37" s="1161"/>
      <c r="V37" s="3193"/>
      <c r="W37" s="3193"/>
      <c r="X37" s="3193"/>
      <c r="Y37" s="3193"/>
      <c r="Z37" s="3193"/>
      <c r="AA37" s="3193"/>
      <c r="AB37" s="3193"/>
      <c r="AC37" s="3193"/>
      <c r="AD37" s="3193"/>
      <c r="AE37" s="3193"/>
      <c r="AF37" s="3193"/>
      <c r="AG37" s="3193"/>
      <c r="AH37" s="3193"/>
      <c r="AI37" s="3193"/>
      <c r="AJ37" s="3193"/>
      <c r="AK37" s="3193"/>
      <c r="AL37" s="3193" t="s">
        <v>105</v>
      </c>
      <c r="AM37" s="3193"/>
      <c r="AN37" s="3193"/>
      <c r="AO37" s="3193"/>
      <c r="AP37" s="3193"/>
      <c r="AQ37" s="3193"/>
      <c r="AR37" s="3193"/>
      <c r="AS37" s="3193"/>
      <c r="BA37" s="1072">
        <v>14</v>
      </c>
    </row>
    <row r="38" spans="1:53" ht="14.65" customHeight="1">
      <c r="Q38" s="310"/>
      <c r="R38" s="310"/>
      <c r="S38" s="3067" t="s">
        <v>335</v>
      </c>
      <c r="T38" s="3067"/>
      <c r="U38" s="3067"/>
      <c r="V38" s="3067"/>
      <c r="W38" s="3067"/>
      <c r="X38" s="3067"/>
      <c r="Y38" s="3067"/>
      <c r="Z38" s="3067"/>
      <c r="AA38" s="3067"/>
      <c r="AB38" s="3067"/>
      <c r="AC38" s="3067"/>
      <c r="AD38" s="3067"/>
      <c r="AE38" s="3067"/>
      <c r="AF38" s="3067"/>
      <c r="AG38" s="3067"/>
      <c r="AH38" s="3067"/>
      <c r="AI38" s="3067"/>
      <c r="AJ38" s="3067"/>
      <c r="AK38" s="3067"/>
      <c r="AL38" s="3067" t="s">
        <v>335</v>
      </c>
      <c r="AM38" s="3067"/>
      <c r="AN38" s="3067"/>
      <c r="AO38" s="3067"/>
      <c r="AP38" s="3067"/>
      <c r="AQ38" s="3067"/>
      <c r="AR38" s="3067"/>
      <c r="AS38" s="3067"/>
      <c r="AT38" s="3067"/>
      <c r="AU38" s="3067"/>
      <c r="BA38" s="1072"/>
    </row>
    <row r="39" spans="1:53" ht="14.65" customHeight="1">
      <c r="Q39" s="310"/>
      <c r="R39" s="310"/>
      <c r="S39" s="3207" t="s">
        <v>89</v>
      </c>
      <c r="T39" s="3159" t="s">
        <v>460</v>
      </c>
      <c r="U39" s="236"/>
      <c r="V39" s="3208" t="s">
        <v>461</v>
      </c>
      <c r="W39" s="3209"/>
      <c r="X39" s="3209"/>
      <c r="Y39" s="3209"/>
      <c r="Z39" s="3209"/>
      <c r="AA39" s="3209"/>
      <c r="AB39" s="3210"/>
      <c r="AC39" s="3211" t="s">
        <v>462</v>
      </c>
      <c r="AD39" s="3208" t="s">
        <v>461</v>
      </c>
      <c r="AE39" s="3209"/>
      <c r="AF39" s="3209"/>
      <c r="AG39" s="3209"/>
      <c r="AH39" s="3209"/>
      <c r="AI39" s="3209"/>
      <c r="AJ39" s="3210"/>
      <c r="AK39" s="3211" t="s">
        <v>463</v>
      </c>
      <c r="AL39" s="3208" t="s">
        <v>461</v>
      </c>
      <c r="AM39" s="3209"/>
      <c r="AN39" s="3209"/>
      <c r="AO39" s="3209"/>
      <c r="AP39" s="3209"/>
      <c r="AQ39" s="3209"/>
      <c r="AR39" s="3210"/>
      <c r="AS39" s="3211" t="s">
        <v>462</v>
      </c>
      <c r="AT39" s="3214" t="s">
        <v>464</v>
      </c>
      <c r="AU39" s="3067"/>
      <c r="BA39" s="1072">
        <v>14</v>
      </c>
    </row>
    <row r="40" spans="1:53" ht="35.65" customHeight="1">
      <c r="Q40" s="310"/>
      <c r="R40" s="310"/>
      <c r="S40" s="3207"/>
      <c r="T40" s="3159"/>
      <c r="U40" s="952"/>
      <c r="V40" s="3130" t="s">
        <v>465</v>
      </c>
      <c r="W40" s="3217" t="s">
        <v>466</v>
      </c>
      <c r="X40" s="3038" t="s">
        <v>467</v>
      </c>
      <c r="Y40" s="3037"/>
      <c r="Z40" s="3038" t="s">
        <v>480</v>
      </c>
      <c r="AA40" s="3044"/>
      <c r="AB40" s="3037"/>
      <c r="AC40" s="3212"/>
      <c r="AD40" s="3130" t="s">
        <v>465</v>
      </c>
      <c r="AE40" s="3217" t="s">
        <v>466</v>
      </c>
      <c r="AF40" s="3038" t="s">
        <v>467</v>
      </c>
      <c r="AG40" s="3037"/>
      <c r="AH40" s="3038" t="s">
        <v>468</v>
      </c>
      <c r="AI40" s="3044"/>
      <c r="AJ40" s="3037"/>
      <c r="AK40" s="3212"/>
      <c r="AL40" s="3130" t="s">
        <v>465</v>
      </c>
      <c r="AM40" s="3217" t="s">
        <v>466</v>
      </c>
      <c r="AN40" s="3038" t="s">
        <v>467</v>
      </c>
      <c r="AO40" s="3037"/>
      <c r="AP40" s="3038" t="s">
        <v>480</v>
      </c>
      <c r="AQ40" s="3044"/>
      <c r="AR40" s="3037"/>
      <c r="AS40" s="3212"/>
      <c r="AT40" s="3215"/>
      <c r="AU40" s="3067"/>
      <c r="BA40" s="1072">
        <v>34</v>
      </c>
    </row>
    <row r="41" spans="1:53" ht="35.65" customHeight="1">
      <c r="A41" s="1287"/>
      <c r="B41" s="1287" t="s">
        <v>149</v>
      </c>
      <c r="C41" s="1287" t="s">
        <v>150</v>
      </c>
      <c r="D41" s="1287" t="s">
        <v>151</v>
      </c>
      <c r="E41" s="1281" t="s">
        <v>469</v>
      </c>
      <c r="F41" s="1281" t="s">
        <v>470</v>
      </c>
      <c r="G41" s="1281" t="s">
        <v>471</v>
      </c>
      <c r="H41" s="1281" t="s">
        <v>472</v>
      </c>
      <c r="I41" s="1281" t="s">
        <v>473</v>
      </c>
      <c r="J41" s="1281" t="s">
        <v>474</v>
      </c>
      <c r="K41" s="1281" t="s">
        <v>475</v>
      </c>
      <c r="L41" s="1281" t="s">
        <v>450</v>
      </c>
      <c r="Q41" s="310"/>
      <c r="R41" s="310"/>
      <c r="S41" s="3207"/>
      <c r="T41" s="3159"/>
      <c r="U41" s="237"/>
      <c r="V41" s="3178"/>
      <c r="W41" s="3218"/>
      <c r="X41" s="1139" t="s">
        <v>476</v>
      </c>
      <c r="Y41" s="1139" t="s">
        <v>477</v>
      </c>
      <c r="Z41" s="1255" t="s">
        <v>478</v>
      </c>
      <c r="AA41" s="3167" t="s">
        <v>479</v>
      </c>
      <c r="AB41" s="3169"/>
      <c r="AC41" s="3213"/>
      <c r="AD41" s="3178"/>
      <c r="AE41" s="3218"/>
      <c r="AF41" s="1139" t="s">
        <v>476</v>
      </c>
      <c r="AG41" s="1139" t="s">
        <v>477</v>
      </c>
      <c r="AH41" s="1255" t="s">
        <v>478</v>
      </c>
      <c r="AI41" s="3167" t="s">
        <v>479</v>
      </c>
      <c r="AJ41" s="3169"/>
      <c r="AK41" s="3213"/>
      <c r="AL41" s="3178"/>
      <c r="AM41" s="3218"/>
      <c r="AN41" s="2257" t="s">
        <v>476</v>
      </c>
      <c r="AO41" s="2257" t="s">
        <v>477</v>
      </c>
      <c r="AP41" s="2257" t="s">
        <v>478</v>
      </c>
      <c r="AQ41" s="3167" t="s">
        <v>479</v>
      </c>
      <c r="AR41" s="3169"/>
      <c r="AS41" s="3213"/>
      <c r="AT41" s="3216"/>
      <c r="AU41" s="3067"/>
      <c r="BA41" s="1072">
        <v>34</v>
      </c>
    </row>
    <row r="42" spans="1:53" s="2212" customFormat="1" ht="11.25" hidden="1" customHeight="1">
      <c r="A42" s="1287"/>
      <c r="B42" s="1287"/>
      <c r="C42" s="1287"/>
      <c r="D42" s="1287"/>
      <c r="E42" s="1287"/>
      <c r="F42" s="1287"/>
      <c r="G42" s="1287"/>
      <c r="H42" s="1287"/>
      <c r="I42" s="1287"/>
      <c r="J42" s="1287"/>
      <c r="K42" s="1287"/>
      <c r="L42" s="1281"/>
      <c r="M42" s="1279"/>
      <c r="N42" s="1279"/>
      <c r="O42" s="1279"/>
      <c r="P42" s="1163"/>
      <c r="Q42" s="1164"/>
      <c r="R42" s="1171">
        <v>1</v>
      </c>
      <c r="S42" s="1194" t="s">
        <v>124</v>
      </c>
      <c r="T42" s="1172" t="s">
        <v>104</v>
      </c>
      <c r="U42" s="1162" t="str">
        <f ca="1">OFFSET(U42,0,-1)</f>
        <v>2</v>
      </c>
      <c r="V42" s="1252">
        <f ca="1">OFFSET(V42,0,-1)+1</f>
        <v>3</v>
      </c>
      <c r="W42" s="1252"/>
      <c r="X42" s="1252">
        <f ca="1">OFFSET(X42,0,-1)+1</f>
        <v>1</v>
      </c>
      <c r="Y42" s="1252">
        <f ca="1">OFFSET(Y42,0,-1)+1</f>
        <v>2</v>
      </c>
      <c r="Z42" s="1252">
        <f ca="1">OFFSET(Z42,0,-1)+1</f>
        <v>3</v>
      </c>
      <c r="AA42" s="3206">
        <f ca="1">OFFSET(AA42,0,-1)+1</f>
        <v>4</v>
      </c>
      <c r="AB42" s="3206"/>
      <c r="AC42" s="1252">
        <f ca="1">OFFSET(AC42,0,-2)+1</f>
        <v>5</v>
      </c>
      <c r="AD42" s="1252">
        <f ca="1">OFFSET(AD42,0,-1)+1</f>
        <v>6</v>
      </c>
      <c r="AE42" s="1252"/>
      <c r="AF42" s="1252">
        <f ca="1">OFFSET(AF42,0,-1)+1</f>
        <v>1</v>
      </c>
      <c r="AG42" s="1252">
        <f ca="1">OFFSET(AG42,0,-1)+1</f>
        <v>2</v>
      </c>
      <c r="AH42" s="1252">
        <f ca="1">OFFSET(AH42,0,-1)+1</f>
        <v>3</v>
      </c>
      <c r="AI42" s="3206">
        <f ca="1">OFFSET(AI42,0,-1)+1</f>
        <v>4</v>
      </c>
      <c r="AJ42" s="3206"/>
      <c r="AK42" s="1252">
        <f ca="1">OFFSET(AK42,0,-2)+1</f>
        <v>5</v>
      </c>
      <c r="AL42" s="2258">
        <f ca="1">OFFSET(AL42,0,-1)+1</f>
        <v>6</v>
      </c>
      <c r="AM42" s="2258"/>
      <c r="AN42" s="2258">
        <f ca="1">OFFSET(AN42,0,-1)+1</f>
        <v>1</v>
      </c>
      <c r="AO42" s="2258">
        <f ca="1">OFFSET(AO42,0,-1)+1</f>
        <v>2</v>
      </c>
      <c r="AP42" s="2258">
        <f ca="1">OFFSET(AP42,0,-1)+1</f>
        <v>3</v>
      </c>
      <c r="AQ42" s="3206">
        <f ca="1">OFFSET(AQ42,0,-1)+1</f>
        <v>4</v>
      </c>
      <c r="AR42" s="3206"/>
      <c r="AS42" s="2258">
        <f ca="1">OFFSET(AS42,0,-2)+1</f>
        <v>5</v>
      </c>
      <c r="AT42" s="1162">
        <f ca="1">OFFSET(AT42,0,-1)</f>
        <v>5</v>
      </c>
      <c r="AU42" s="1252">
        <f ca="1">OFFSET(AU42,0,-1)+1</f>
        <v>6</v>
      </c>
      <c r="AV42" s="445"/>
      <c r="AW42" s="445"/>
      <c r="AX42" s="445"/>
      <c r="AY42" s="445"/>
      <c r="AZ42" s="445"/>
      <c r="BA42" s="430">
        <v>0</v>
      </c>
    </row>
    <row r="43" spans="1:53" ht="22" customHeight="1">
      <c r="A43" s="1280" t="s">
        <v>176</v>
      </c>
      <c r="B43" s="1280"/>
      <c r="C43" s="1280"/>
      <c r="D43" s="1280"/>
      <c r="E43" s="3199">
        <v>1</v>
      </c>
      <c r="F43" s="1280"/>
      <c r="G43" s="1280"/>
      <c r="H43" s="1280"/>
      <c r="I43" s="1280"/>
      <c r="J43" s="1280"/>
      <c r="K43" s="1280"/>
      <c r="L43" s="1281"/>
      <c r="M43" s="1282"/>
      <c r="N43" s="1282"/>
      <c r="O43" s="1282"/>
      <c r="P43" s="295"/>
      <c r="Q43" s="294"/>
      <c r="R43" s="289"/>
      <c r="S43" s="1253">
        <f>INDEX(PT_DIFFERENTIATION_NUM_NTAR,MATCH(A43,PT_DIFFERENTIATION_NTAR_ID,0))</f>
        <v>1</v>
      </c>
      <c r="T43" s="233" t="s">
        <v>137</v>
      </c>
      <c r="U43" s="235"/>
      <c r="V43" s="3185"/>
      <c r="W43" s="3186"/>
      <c r="X43" s="3186"/>
      <c r="Y43" s="3186"/>
      <c r="Z43" s="3186"/>
      <c r="AA43" s="3186"/>
      <c r="AB43" s="3186"/>
      <c r="AC43" s="3187"/>
      <c r="AD43" s="3185" t="str">
        <f>INDEX(PT_DIFFERENTIATION_NTAR,MATCH(A43,PT_DIFFERENTIATION_NTAR_ID,0))</f>
        <v/>
      </c>
      <c r="AE43" s="3186"/>
      <c r="AF43" s="3186"/>
      <c r="AG43" s="3186"/>
      <c r="AH43" s="3186"/>
      <c r="AI43" s="3186"/>
      <c r="AJ43" s="3186"/>
      <c r="AK43" s="3186"/>
      <c r="AL43" s="3185"/>
      <c r="AM43" s="3186"/>
      <c r="AN43" s="3186"/>
      <c r="AO43" s="3186"/>
      <c r="AP43" s="3186"/>
      <c r="AQ43" s="3186"/>
      <c r="AR43" s="3186"/>
      <c r="AS43" s="3187"/>
      <c r="AT43" s="3187"/>
      <c r="AU43" s="117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W43" s="434"/>
      <c r="AX43" s="434" t="str">
        <f t="shared" ref="AX43:AX81" si="1">IF(T43="","",T43)</f>
        <v>Наименование тарифа</v>
      </c>
      <c r="AY43" s="434"/>
      <c r="AZ43" s="434"/>
      <c r="BA43" s="1072">
        <v>21</v>
      </c>
    </row>
    <row r="44" spans="1:53" ht="22" customHeight="1">
      <c r="A44" s="1280" t="s">
        <v>176</v>
      </c>
      <c r="B44" s="1280" t="s">
        <v>177</v>
      </c>
      <c r="C44" s="1280"/>
      <c r="D44" s="1280"/>
      <c r="E44" s="3200"/>
      <c r="F44" s="3199">
        <v>1</v>
      </c>
      <c r="G44" s="1280"/>
      <c r="H44" s="1280"/>
      <c r="I44" s="1280"/>
      <c r="J44" s="1280"/>
      <c r="K44" s="1280"/>
      <c r="L44" s="1281"/>
      <c r="M44" s="1282"/>
      <c r="N44" s="1282"/>
      <c r="O44" s="1282"/>
      <c r="P44" s="1249"/>
      <c r="Q44" s="286"/>
      <c r="R44" s="287"/>
      <c r="S44" s="1253" t="str">
        <f>INDEX(PT_DIFFERENTIATION_NUM_TER,MATCH(B44,PT_DIFFERENTIATION_TER_ID,0))</f>
        <v>1.1</v>
      </c>
      <c r="T44" s="243" t="s">
        <v>432</v>
      </c>
      <c r="U44" s="235"/>
      <c r="V44" s="3185"/>
      <c r="W44" s="3186"/>
      <c r="X44" s="3186"/>
      <c r="Y44" s="3186"/>
      <c r="Z44" s="3186"/>
      <c r="AA44" s="3186"/>
      <c r="AB44" s="3186"/>
      <c r="AC44" s="3187"/>
      <c r="AD44" s="3185" t="str">
        <f>INDEX(PT_DIFFERENTIATION_TER,MATCH(B44,PT_DIFFERENTIATION_TER_ID,0))</f>
        <v>Территория 1</v>
      </c>
      <c r="AE44" s="3186"/>
      <c r="AF44" s="3186"/>
      <c r="AG44" s="3186"/>
      <c r="AH44" s="3186"/>
      <c r="AI44" s="3186"/>
      <c r="AJ44" s="3186"/>
      <c r="AK44" s="3186"/>
      <c r="AL44" s="3185"/>
      <c r="AM44" s="3186"/>
      <c r="AN44" s="3186"/>
      <c r="AO44" s="3186"/>
      <c r="AP44" s="3186"/>
      <c r="AQ44" s="3186"/>
      <c r="AR44" s="3186"/>
      <c r="AS44" s="3187"/>
      <c r="AT44" s="3187"/>
      <c r="AU44" s="1175" t="s">
        <v>433</v>
      </c>
      <c r="AW44" s="434"/>
      <c r="AX44" s="434" t="str">
        <f t="shared" si="1"/>
        <v>Территория действия тарифа</v>
      </c>
      <c r="AY44" s="434"/>
      <c r="AZ44" s="434"/>
      <c r="BA44" s="1072">
        <v>21</v>
      </c>
    </row>
    <row r="45" spans="1:53" ht="24" customHeight="1">
      <c r="A45" s="1280" t="s">
        <v>176</v>
      </c>
      <c r="B45" s="1280" t="s">
        <v>177</v>
      </c>
      <c r="C45" s="1280" t="s">
        <v>178</v>
      </c>
      <c r="D45" s="1280"/>
      <c r="E45" s="3200"/>
      <c r="F45" s="3200"/>
      <c r="G45" s="3199">
        <v>1</v>
      </c>
      <c r="H45" s="1280"/>
      <c r="I45" s="1280"/>
      <c r="J45" s="1280"/>
      <c r="K45" s="1280"/>
      <c r="L45" s="1281"/>
      <c r="M45" s="1282"/>
      <c r="N45" s="1282"/>
      <c r="O45" s="1282"/>
      <c r="P45" s="288"/>
      <c r="Q45" s="286"/>
      <c r="R45" s="287"/>
      <c r="S45" s="1253" t="str">
        <f>INDEX(PT_DIFFERENTIATION_NUM_CS,MATCH(C45,PT_DIFFERENTIATION_CS_ID,0))</f>
        <v>1.1.1</v>
      </c>
      <c r="T45" s="244" t="s">
        <v>434</v>
      </c>
      <c r="U45" s="235"/>
      <c r="V45" s="3185"/>
      <c r="W45" s="3186"/>
      <c r="X45" s="3186"/>
      <c r="Y45" s="3186"/>
      <c r="Z45" s="3186"/>
      <c r="AA45" s="3186"/>
      <c r="AB45" s="3186"/>
      <c r="AC45" s="3187"/>
      <c r="AD45" s="3185" t="str">
        <f>INDEX(PT_DIFFERENTIATION_CS,MATCH(C45,PT_DIFFERENTIATION_CS_ID,0))</f>
        <v>без дифференциации</v>
      </c>
      <c r="AE45" s="3186"/>
      <c r="AF45" s="3186"/>
      <c r="AG45" s="3186"/>
      <c r="AH45" s="3186"/>
      <c r="AI45" s="3186"/>
      <c r="AJ45" s="3186"/>
      <c r="AK45" s="3186"/>
      <c r="AL45" s="3185"/>
      <c r="AM45" s="3186"/>
      <c r="AN45" s="3186"/>
      <c r="AO45" s="3186"/>
      <c r="AP45" s="3186"/>
      <c r="AQ45" s="3186"/>
      <c r="AR45" s="3186"/>
      <c r="AS45" s="3187"/>
      <c r="AT45" s="3187"/>
      <c r="AU45" s="1175" t="s">
        <v>435</v>
      </c>
      <c r="AW45" s="434"/>
      <c r="AX45" s="434" t="str">
        <f t="shared" si="1"/>
        <v xml:space="preserve">Наименование системы теплоснабжения </v>
      </c>
      <c r="AY45" s="434"/>
      <c r="AZ45" s="434"/>
      <c r="BA45" s="1072">
        <v>23</v>
      </c>
    </row>
    <row r="46" spans="1:53" ht="22" customHeight="1">
      <c r="A46" s="1280" t="s">
        <v>176</v>
      </c>
      <c r="B46" s="1280" t="s">
        <v>177</v>
      </c>
      <c r="C46" s="1280" t="s">
        <v>178</v>
      </c>
      <c r="D46" s="1280" t="s">
        <v>179</v>
      </c>
      <c r="E46" s="3200"/>
      <c r="F46" s="3200"/>
      <c r="G46" s="3200"/>
      <c r="H46" s="3199">
        <v>1</v>
      </c>
      <c r="I46" s="1280"/>
      <c r="J46" s="1280"/>
      <c r="K46" s="1280"/>
      <c r="L46" s="1281"/>
      <c r="M46" s="1282"/>
      <c r="N46" s="1282"/>
      <c r="O46" s="1282"/>
      <c r="P46" s="288"/>
      <c r="Q46" s="286"/>
      <c r="R46" s="287"/>
      <c r="S46" s="1253" t="str">
        <f>INDEX(PT_DIFFERENTIATION_NUM_IST_TE,MATCH(D46,PT_DIFFERENTIATION_IST_TE_ID,0))</f>
        <v>1.1.1.1</v>
      </c>
      <c r="T46" s="245" t="s">
        <v>436</v>
      </c>
      <c r="U46" s="235"/>
      <c r="V46" s="3185"/>
      <c r="W46" s="3186"/>
      <c r="X46" s="3186"/>
      <c r="Y46" s="3186"/>
      <c r="Z46" s="3186"/>
      <c r="AA46" s="3186"/>
      <c r="AB46" s="3186"/>
      <c r="AC46" s="3187"/>
      <c r="AD46" s="3185" t="str">
        <f>INDEX(PT_DIFFERENTIATION_IST_TE,MATCH(D46,PT_DIFFERENTIATION_IST_TE_ID,0))</f>
        <v>без дифференциации</v>
      </c>
      <c r="AE46" s="3186"/>
      <c r="AF46" s="3186"/>
      <c r="AG46" s="3186"/>
      <c r="AH46" s="3186"/>
      <c r="AI46" s="3186"/>
      <c r="AJ46" s="3186"/>
      <c r="AK46" s="3186"/>
      <c r="AL46" s="3185"/>
      <c r="AM46" s="3186"/>
      <c r="AN46" s="3186"/>
      <c r="AO46" s="3186"/>
      <c r="AP46" s="3186"/>
      <c r="AQ46" s="3186"/>
      <c r="AR46" s="3186"/>
      <c r="AS46" s="3187"/>
      <c r="AT46" s="3187"/>
      <c r="AU46" s="1175" t="s">
        <v>437</v>
      </c>
      <c r="AW46" s="434"/>
      <c r="AX46" s="434" t="str">
        <f t="shared" si="1"/>
        <v xml:space="preserve">Источник тепловой энергии  </v>
      </c>
      <c r="AY46" s="434"/>
      <c r="AZ46" s="434"/>
      <c r="BA46" s="1072">
        <v>21</v>
      </c>
    </row>
    <row r="47" spans="1:53" ht="49.5" customHeight="1">
      <c r="A47" s="1280" t="s">
        <v>176</v>
      </c>
      <c r="B47" s="1280" t="s">
        <v>177</v>
      </c>
      <c r="C47" s="1280" t="s">
        <v>178</v>
      </c>
      <c r="D47" s="1280" t="s">
        <v>179</v>
      </c>
      <c r="E47" s="3200"/>
      <c r="F47" s="3200"/>
      <c r="G47" s="3200"/>
      <c r="H47" s="3200"/>
      <c r="I47" s="3197" t="str">
        <f>S46&amp;".1"</f>
        <v>1.1.1.1.1</v>
      </c>
      <c r="J47" s="1280"/>
      <c r="K47" s="1280"/>
      <c r="L47" s="1281" t="s">
        <v>438</v>
      </c>
      <c r="P47" s="3198">
        <v>1</v>
      </c>
      <c r="Q47" s="1248"/>
      <c r="R47" s="290"/>
      <c r="S47" s="1253" t="str">
        <f>$I47</f>
        <v>1.1.1.1.1</v>
      </c>
      <c r="T47" s="220" t="s">
        <v>439</v>
      </c>
      <c r="U47" s="235"/>
      <c r="V47" s="3188"/>
      <c r="W47" s="3189"/>
      <c r="X47" s="3189"/>
      <c r="Y47" s="3189"/>
      <c r="Z47" s="3189"/>
      <c r="AA47" s="3189"/>
      <c r="AB47" s="3189"/>
      <c r="AC47" s="3190"/>
      <c r="AD47" s="3188" t="s">
        <v>481</v>
      </c>
      <c r="AE47" s="3189"/>
      <c r="AF47" s="3189"/>
      <c r="AG47" s="3189"/>
      <c r="AH47" s="3189"/>
      <c r="AI47" s="3189"/>
      <c r="AJ47" s="3189"/>
      <c r="AK47" s="3189"/>
      <c r="AL47" s="3188"/>
      <c r="AM47" s="3189"/>
      <c r="AN47" s="3189"/>
      <c r="AO47" s="3189"/>
      <c r="AP47" s="3189"/>
      <c r="AQ47" s="3189"/>
      <c r="AR47" s="3189"/>
      <c r="AS47" s="3190"/>
      <c r="AT47" s="3190"/>
      <c r="AU47" s="1175" t="s">
        <v>440</v>
      </c>
      <c r="AW47" s="434"/>
      <c r="AX47" s="434" t="str">
        <f t="shared" si="1"/>
        <v>Схема подключения теплопотребляющей установки к коллектору источника тепловой энергии</v>
      </c>
      <c r="AY47" s="434"/>
      <c r="AZ47" s="434"/>
      <c r="BA47" s="1072">
        <v>47</v>
      </c>
    </row>
    <row r="48" spans="1:53" ht="22" customHeight="1">
      <c r="A48" s="1280" t="s">
        <v>176</v>
      </c>
      <c r="B48" s="1280" t="s">
        <v>177</v>
      </c>
      <c r="C48" s="1280" t="s">
        <v>178</v>
      </c>
      <c r="D48" s="1280" t="s">
        <v>179</v>
      </c>
      <c r="E48" s="3200"/>
      <c r="F48" s="3200"/>
      <c r="G48" s="3200"/>
      <c r="H48" s="3200"/>
      <c r="I48" s="3220"/>
      <c r="J48" s="3197" t="str">
        <f>I47&amp;".1"</f>
        <v>1.1.1.1.1.1</v>
      </c>
      <c r="K48" s="1280"/>
      <c r="L48" s="1281" t="s">
        <v>441</v>
      </c>
      <c r="P48" s="3198"/>
      <c r="Q48" s="3198">
        <v>1</v>
      </c>
      <c r="R48" s="291"/>
      <c r="S48" s="1253" t="str">
        <f>$J48</f>
        <v>1.1.1.1.1.1</v>
      </c>
      <c r="T48" s="221" t="s">
        <v>442</v>
      </c>
      <c r="U48" s="235"/>
      <c r="V48" s="3188"/>
      <c r="W48" s="3189"/>
      <c r="X48" s="3189"/>
      <c r="Y48" s="3189"/>
      <c r="Z48" s="3189"/>
      <c r="AA48" s="3189"/>
      <c r="AB48" s="3189"/>
      <c r="AC48" s="3190"/>
      <c r="AD48" s="3188" t="s">
        <v>481</v>
      </c>
      <c r="AE48" s="3189"/>
      <c r="AF48" s="3189"/>
      <c r="AG48" s="3189"/>
      <c r="AH48" s="3189"/>
      <c r="AI48" s="3189"/>
      <c r="AJ48" s="3189"/>
      <c r="AK48" s="3189"/>
      <c r="AL48" s="3188"/>
      <c r="AM48" s="3189"/>
      <c r="AN48" s="3189"/>
      <c r="AO48" s="3189"/>
      <c r="AP48" s="3189"/>
      <c r="AQ48" s="3189"/>
      <c r="AR48" s="3189"/>
      <c r="AS48" s="3190"/>
      <c r="AT48" s="3190"/>
      <c r="AU48" s="1175" t="s">
        <v>443</v>
      </c>
      <c r="AW48" s="434"/>
      <c r="AX48" s="434" t="str">
        <f t="shared" si="1"/>
        <v>Группа потребителей</v>
      </c>
      <c r="AY48" s="434"/>
      <c r="AZ48" s="434"/>
      <c r="BA48" s="1072">
        <v>21</v>
      </c>
    </row>
    <row r="49" spans="1:53" ht="22" customHeight="1">
      <c r="A49" s="1280" t="s">
        <v>176</v>
      </c>
      <c r="B49" s="1280" t="s">
        <v>177</v>
      </c>
      <c r="C49" s="1280" t="s">
        <v>178</v>
      </c>
      <c r="D49" s="1280" t="s">
        <v>179</v>
      </c>
      <c r="E49" s="3200"/>
      <c r="F49" s="3200"/>
      <c r="G49" s="3200"/>
      <c r="H49" s="3200"/>
      <c r="I49" s="3220"/>
      <c r="J49" s="3220"/>
      <c r="K49" s="3197" t="str">
        <f>J48&amp;".1"</f>
        <v>1.1.1.1.1.1.1</v>
      </c>
      <c r="L49" s="1281" t="s">
        <v>444</v>
      </c>
      <c r="P49" s="3198"/>
      <c r="Q49" s="3198"/>
      <c r="R49" s="291">
        <v>1</v>
      </c>
      <c r="S49" s="1253" t="str">
        <f>$K49</f>
        <v>1.1.1.1.1.1.1</v>
      </c>
      <c r="T49" s="1264" t="s">
        <v>482</v>
      </c>
      <c r="U49" s="235"/>
      <c r="V49" s="685"/>
      <c r="W49" s="260"/>
      <c r="X49" s="685"/>
      <c r="Y49" s="1174"/>
      <c r="Z49" s="3202"/>
      <c r="AA49" s="3048" t="s">
        <v>67</v>
      </c>
      <c r="AB49" s="3202"/>
      <c r="AC49" s="3048" t="s">
        <v>67</v>
      </c>
      <c r="AD49" s="685">
        <v>22537.37</v>
      </c>
      <c r="AE49" s="260"/>
      <c r="AF49" s="685"/>
      <c r="AG49" s="1174"/>
      <c r="AH49" s="3202">
        <v>45658</v>
      </c>
      <c r="AI49" s="3048" t="s">
        <v>67</v>
      </c>
      <c r="AJ49" s="3221">
        <v>45838</v>
      </c>
      <c r="AK49" s="3048" t="s">
        <v>67</v>
      </c>
      <c r="AL49" s="2220">
        <v>22537.37</v>
      </c>
      <c r="AM49" s="2221"/>
      <c r="AN49" s="2220"/>
      <c r="AO49" s="2222"/>
      <c r="AP49" s="3202">
        <v>45839</v>
      </c>
      <c r="AQ49" s="3048" t="s">
        <v>67</v>
      </c>
      <c r="AR49" s="3202">
        <v>46022</v>
      </c>
      <c r="AS49" s="3048" t="s">
        <v>67</v>
      </c>
      <c r="AT49" s="1265"/>
      <c r="AU49" s="3194" t="s">
        <v>445</v>
      </c>
      <c r="AV49" s="445" t="e">
        <f ca="1">STRCHECKDATE(V50:AT50)</f>
        <v>#NAME?</v>
      </c>
      <c r="AW49" s="434"/>
      <c r="AX49" s="434" t="str">
        <f t="shared" si="1"/>
        <v>вода</v>
      </c>
      <c r="AY49" s="434"/>
      <c r="AZ49" s="434"/>
      <c r="BA49" s="1072">
        <v>21</v>
      </c>
    </row>
    <row r="50" spans="1:53" ht="1" customHeight="1">
      <c r="A50" s="1280" t="s">
        <v>176</v>
      </c>
      <c r="B50" s="1280" t="s">
        <v>177</v>
      </c>
      <c r="C50" s="1280" t="s">
        <v>178</v>
      </c>
      <c r="D50" s="1280" t="s">
        <v>179</v>
      </c>
      <c r="E50" s="3200"/>
      <c r="F50" s="3200"/>
      <c r="G50" s="3200"/>
      <c r="H50" s="3200"/>
      <c r="I50" s="3220"/>
      <c r="J50" s="3220"/>
      <c r="K50" s="3197"/>
      <c r="L50" s="1281"/>
      <c r="P50" s="3198"/>
      <c r="Q50" s="3198"/>
      <c r="R50" s="291"/>
      <c r="S50" s="1259"/>
      <c r="T50" s="235"/>
      <c r="U50" s="235"/>
      <c r="V50" s="260"/>
      <c r="W50" s="260"/>
      <c r="X50" s="260"/>
      <c r="Y50" s="263" t="str">
        <f>Z49&amp;"-"&amp;AB49</f>
        <v>-</v>
      </c>
      <c r="Z50" s="3203"/>
      <c r="AA50" s="3048"/>
      <c r="AB50" s="3203"/>
      <c r="AC50" s="3048"/>
      <c r="AD50" s="260"/>
      <c r="AE50" s="260"/>
      <c r="AF50" s="260"/>
      <c r="AG50" s="263" t="str">
        <f>AH49&amp;"-"&amp;AJ49</f>
        <v>45658-45838</v>
      </c>
      <c r="AH50" s="3203"/>
      <c r="AI50" s="3048"/>
      <c r="AJ50" s="3222"/>
      <c r="AK50" s="3048"/>
      <c r="AL50" s="2221"/>
      <c r="AM50" s="2221"/>
      <c r="AN50" s="2221"/>
      <c r="AO50" s="2223" t="str">
        <f>AP49&amp;"-"&amp;AR49</f>
        <v>45839-46022</v>
      </c>
      <c r="AP50" s="3203"/>
      <c r="AQ50" s="3048"/>
      <c r="AR50" s="3203"/>
      <c r="AS50" s="3048"/>
      <c r="AT50" s="1266"/>
      <c r="AU50" s="3195"/>
      <c r="AW50" s="434"/>
      <c r="AX50" s="434" t="str">
        <f t="shared" si="1"/>
        <v/>
      </c>
      <c r="AY50" s="434"/>
      <c r="AZ50" s="434"/>
      <c r="BA50" s="1072">
        <v>1</v>
      </c>
    </row>
    <row r="51" spans="1:53" ht="11.5" customHeight="1">
      <c r="A51" s="1280" t="s">
        <v>176</v>
      </c>
      <c r="B51" s="1280" t="s">
        <v>177</v>
      </c>
      <c r="C51" s="1280" t="s">
        <v>178</v>
      </c>
      <c r="D51" s="1280" t="s">
        <v>179</v>
      </c>
      <c r="E51" s="3200"/>
      <c r="F51" s="3200"/>
      <c r="G51" s="3200"/>
      <c r="H51" s="3200"/>
      <c r="I51" s="3220"/>
      <c r="J51" s="3197"/>
      <c r="K51" s="1280"/>
      <c r="L51" s="1281"/>
      <c r="P51" s="3198"/>
      <c r="Q51" s="3198"/>
      <c r="R51" s="290"/>
      <c r="S51" s="1195"/>
      <c r="T51" s="223" t="s">
        <v>446</v>
      </c>
      <c r="U51" s="301"/>
      <c r="V51" s="301"/>
      <c r="W51" s="301"/>
      <c r="X51" s="301"/>
      <c r="Y51" s="301"/>
      <c r="Z51" s="301"/>
      <c r="AA51" s="301"/>
      <c r="AB51" s="301"/>
      <c r="AC51" s="301"/>
      <c r="AD51" s="301"/>
      <c r="AE51" s="301"/>
      <c r="AF51" s="301"/>
      <c r="AG51" s="301"/>
      <c r="AH51" s="301"/>
      <c r="AI51" s="301"/>
      <c r="AJ51" s="301"/>
      <c r="AK51" s="301"/>
      <c r="AL51" s="2259"/>
      <c r="AM51" s="2260"/>
      <c r="AN51" s="2261"/>
      <c r="AO51" s="2262"/>
      <c r="AP51" s="2263"/>
      <c r="AQ51" s="2264"/>
      <c r="AR51" s="2265"/>
      <c r="AS51" s="2266"/>
      <c r="AT51" s="259"/>
      <c r="AU51" s="3196"/>
      <c r="AW51" s="434"/>
      <c r="AX51" s="434" t="str">
        <f t="shared" si="1"/>
        <v>Добавить вид теплоносителя (параметры теплоносителя)</v>
      </c>
      <c r="AY51" s="434"/>
      <c r="AZ51" s="434"/>
      <c r="BA51" s="1072">
        <v>11</v>
      </c>
    </row>
    <row r="52" spans="1:53" ht="11.5" customHeight="1">
      <c r="A52" s="1280" t="s">
        <v>176</v>
      </c>
      <c r="B52" s="1280" t="s">
        <v>177</v>
      </c>
      <c r="C52" s="1280" t="s">
        <v>178</v>
      </c>
      <c r="D52" s="1280" t="s">
        <v>179</v>
      </c>
      <c r="E52" s="3200"/>
      <c r="F52" s="3200"/>
      <c r="G52" s="3200"/>
      <c r="H52" s="3200"/>
      <c r="I52" s="3197"/>
      <c r="J52" s="1280"/>
      <c r="K52" s="1280"/>
      <c r="L52" s="1281"/>
      <c r="P52" s="3198"/>
      <c r="Q52" s="1248"/>
      <c r="R52" s="290"/>
      <c r="S52" s="1195"/>
      <c r="T52" s="222" t="s">
        <v>447</v>
      </c>
      <c r="U52" s="301"/>
      <c r="V52" s="301"/>
      <c r="W52" s="301"/>
      <c r="X52" s="301"/>
      <c r="Y52" s="301"/>
      <c r="Z52" s="301"/>
      <c r="AA52" s="301"/>
      <c r="AB52" s="301"/>
      <c r="AC52" s="300"/>
      <c r="AD52" s="301"/>
      <c r="AE52" s="301"/>
      <c r="AF52" s="301"/>
      <c r="AG52" s="301"/>
      <c r="AH52" s="301"/>
      <c r="AI52" s="301"/>
      <c r="AJ52" s="301"/>
      <c r="AK52" s="300"/>
      <c r="AL52" s="2267"/>
      <c r="AM52" s="2268"/>
      <c r="AN52" s="2269"/>
      <c r="AO52" s="2270"/>
      <c r="AP52" s="2271"/>
      <c r="AQ52" s="2272"/>
      <c r="AR52" s="2273"/>
      <c r="AS52" s="2274"/>
      <c r="AT52" s="301"/>
      <c r="AU52" s="238"/>
      <c r="AW52" s="434"/>
      <c r="AX52" s="434" t="str">
        <f t="shared" si="1"/>
        <v>Добавить группу потребителей</v>
      </c>
      <c r="AY52" s="434"/>
      <c r="AZ52" s="434"/>
      <c r="BA52" s="1072">
        <v>11</v>
      </c>
    </row>
    <row r="53" spans="1:53" ht="14.65" customHeight="1">
      <c r="A53" s="1280" t="s">
        <v>176</v>
      </c>
      <c r="B53" s="1280" t="s">
        <v>177</v>
      </c>
      <c r="C53" s="1280" t="s">
        <v>178</v>
      </c>
      <c r="D53" s="1280" t="s">
        <v>179</v>
      </c>
      <c r="E53" s="3200"/>
      <c r="F53" s="3200"/>
      <c r="G53" s="3200"/>
      <c r="H53" s="3199"/>
      <c r="I53" s="1280"/>
      <c r="J53" s="1280"/>
      <c r="K53" s="1280"/>
      <c r="L53" s="1281"/>
      <c r="M53" s="1282"/>
      <c r="N53" s="1282"/>
      <c r="O53" s="471"/>
      <c r="P53" s="294"/>
      <c r="Q53" s="309"/>
      <c r="R53" s="289"/>
      <c r="S53" s="1195"/>
      <c r="T53" s="299" t="s">
        <v>448</v>
      </c>
      <c r="U53" s="301"/>
      <c r="V53" s="301"/>
      <c r="W53" s="301"/>
      <c r="X53" s="301"/>
      <c r="Y53" s="301"/>
      <c r="Z53" s="301"/>
      <c r="AA53" s="301"/>
      <c r="AB53" s="301"/>
      <c r="AC53" s="300"/>
      <c r="AD53" s="301"/>
      <c r="AE53" s="301"/>
      <c r="AF53" s="301"/>
      <c r="AG53" s="301"/>
      <c r="AH53" s="301"/>
      <c r="AI53" s="301"/>
      <c r="AJ53" s="301"/>
      <c r="AK53" s="300"/>
      <c r="AL53" s="2275"/>
      <c r="AM53" s="2276"/>
      <c r="AN53" s="2277"/>
      <c r="AO53" s="2278"/>
      <c r="AP53" s="2279"/>
      <c r="AQ53" s="2280"/>
      <c r="AR53" s="2281"/>
      <c r="AS53" s="2282"/>
      <c r="AT53" s="301"/>
      <c r="AU53" s="238"/>
      <c r="AW53" s="434"/>
      <c r="AX53" s="434" t="str">
        <f t="shared" si="1"/>
        <v>Добавить схему подключения</v>
      </c>
      <c r="AY53" s="434"/>
      <c r="AZ53" s="434"/>
      <c r="BA53" s="1072">
        <v>14</v>
      </c>
    </row>
    <row r="54" spans="1:53" s="2017" customFormat="1" ht="1" customHeight="1">
      <c r="A54" s="1260" t="s">
        <v>176</v>
      </c>
      <c r="B54" s="1260" t="s">
        <v>177</v>
      </c>
      <c r="C54" s="1260" t="s">
        <v>178</v>
      </c>
      <c r="D54" s="1231"/>
      <c r="E54" s="3200"/>
      <c r="F54" s="3200"/>
      <c r="G54" s="3199"/>
      <c r="H54" s="1231"/>
      <c r="I54" s="1231"/>
      <c r="J54" s="1231"/>
      <c r="K54" s="1231"/>
      <c r="L54" s="1256"/>
      <c r="M54" s="1232"/>
      <c r="N54" s="1232"/>
      <c r="P54" s="1233"/>
      <c r="Q54" s="1234"/>
      <c r="R54" s="1233"/>
      <c r="S54" s="1239"/>
      <c r="T54" s="1242" t="s">
        <v>180</v>
      </c>
      <c r="U54" s="1241"/>
      <c r="V54" s="1241"/>
      <c r="W54" s="1241"/>
      <c r="X54" s="1241"/>
      <c r="Y54" s="1241"/>
      <c r="Z54" s="1241"/>
      <c r="AA54" s="1241"/>
      <c r="AB54" s="1241"/>
      <c r="AC54" s="1241"/>
      <c r="AD54" s="1241"/>
      <c r="AE54" s="1241"/>
      <c r="AF54" s="1241"/>
      <c r="AG54" s="1241"/>
      <c r="AH54" s="1241"/>
      <c r="AI54" s="1241"/>
      <c r="AJ54" s="1241"/>
      <c r="AK54" s="1241"/>
      <c r="AL54" s="2249"/>
      <c r="AM54" s="2249"/>
      <c r="AN54" s="2249"/>
      <c r="AO54" s="2249"/>
      <c r="AP54" s="2249"/>
      <c r="AQ54" s="2249"/>
      <c r="AR54" s="2249"/>
      <c r="AS54" s="2249"/>
      <c r="AT54" s="1241"/>
      <c r="AU54" s="1241"/>
      <c r="AW54" s="717"/>
      <c r="AX54" s="717" t="str">
        <f t="shared" si="1"/>
        <v>Добавить источник для дифференциации</v>
      </c>
      <c r="AY54" s="717"/>
      <c r="AZ54" s="717"/>
      <c r="BA54" s="452">
        <v>1</v>
      </c>
    </row>
    <row r="55" spans="1:53" s="2017" customFormat="1" ht="1" customHeight="1">
      <c r="A55" s="1260" t="s">
        <v>176</v>
      </c>
      <c r="B55" s="1260" t="s">
        <v>177</v>
      </c>
      <c r="C55" s="1231"/>
      <c r="D55" s="1231"/>
      <c r="E55" s="3200"/>
      <c r="F55" s="3199"/>
      <c r="G55" s="1231"/>
      <c r="H55" s="1231"/>
      <c r="I55" s="1231"/>
      <c r="J55" s="1231"/>
      <c r="K55" s="1231"/>
      <c r="L55" s="1256"/>
      <c r="M55" s="1238"/>
      <c r="N55" s="1238"/>
      <c r="P55" s="1233"/>
      <c r="Q55" s="1234"/>
      <c r="R55" s="1233"/>
      <c r="S55" s="1239"/>
      <c r="T55" s="1242" t="s">
        <v>181</v>
      </c>
      <c r="U55" s="1241"/>
      <c r="V55" s="1241"/>
      <c r="W55" s="1241"/>
      <c r="X55" s="1241"/>
      <c r="Y55" s="1241"/>
      <c r="Z55" s="1241"/>
      <c r="AA55" s="1241"/>
      <c r="AB55" s="1241"/>
      <c r="AC55" s="1241"/>
      <c r="AD55" s="1241"/>
      <c r="AE55" s="1241"/>
      <c r="AF55" s="1241"/>
      <c r="AG55" s="1241"/>
      <c r="AH55" s="1241"/>
      <c r="AI55" s="1241"/>
      <c r="AJ55" s="1241"/>
      <c r="AK55" s="1241"/>
      <c r="AL55" s="2249"/>
      <c r="AM55" s="2249"/>
      <c r="AN55" s="2249"/>
      <c r="AO55" s="2249"/>
      <c r="AP55" s="2249"/>
      <c r="AQ55" s="2249"/>
      <c r="AR55" s="2249"/>
      <c r="AS55" s="2249"/>
      <c r="AT55" s="1241"/>
      <c r="AU55" s="1241"/>
      <c r="AW55" s="717"/>
      <c r="AX55" s="717" t="str">
        <f t="shared" si="1"/>
        <v>Добавить централизованную систему для дифференциации</v>
      </c>
      <c r="AY55" s="717"/>
      <c r="AZ55" s="717"/>
      <c r="BA55" s="452">
        <v>1</v>
      </c>
    </row>
    <row r="56" spans="1:53" s="2283" customFormat="1" ht="21" customHeight="1">
      <c r="A56" s="2284"/>
      <c r="B56" s="2284" t="s">
        <v>182</v>
      </c>
      <c r="C56" s="2284"/>
      <c r="D56" s="2284"/>
      <c r="E56" s="3200"/>
      <c r="F56" s="3199" t="s">
        <v>104</v>
      </c>
      <c r="G56" s="2284"/>
      <c r="H56" s="2284"/>
      <c r="I56" s="2284"/>
      <c r="J56" s="2284"/>
      <c r="K56" s="2284"/>
      <c r="L56" s="2285"/>
      <c r="M56" s="2286"/>
      <c r="N56" s="2286"/>
      <c r="O56" s="2286"/>
      <c r="P56" s="2287"/>
      <c r="Q56" s="2288"/>
      <c r="R56" s="2289"/>
      <c r="S56" s="2290" t="str">
        <f>INDEX(PT_DIFFERENTIATION_NUM_TER,MATCH(B56,PT_DIFFERENTIATION_TER_ID,0))</f>
        <v>1.2</v>
      </c>
      <c r="T56" s="2291" t="s">
        <v>432</v>
      </c>
      <c r="U56" s="2292"/>
      <c r="V56" s="3185"/>
      <c r="W56" s="3186"/>
      <c r="X56" s="3186"/>
      <c r="Y56" s="3186"/>
      <c r="Z56" s="3186"/>
      <c r="AA56" s="3186"/>
      <c r="AB56" s="3186"/>
      <c r="AC56" s="3187"/>
      <c r="AD56" s="3185" t="str">
        <f>INDEX(PT_DIFFERENTIATION_TER,MATCH(B56,PT_DIFFERENTIATION_TER_ID,0))</f>
        <v>Территория 2</v>
      </c>
      <c r="AE56" s="3186"/>
      <c r="AF56" s="3186"/>
      <c r="AG56" s="3186"/>
      <c r="AH56" s="3186"/>
      <c r="AI56" s="3186"/>
      <c r="AJ56" s="3186"/>
      <c r="AK56" s="3186"/>
      <c r="AL56" s="3185"/>
      <c r="AM56" s="3186"/>
      <c r="AN56" s="3186"/>
      <c r="AO56" s="3186"/>
      <c r="AP56" s="3186"/>
      <c r="AQ56" s="3186"/>
      <c r="AR56" s="3186"/>
      <c r="AS56" s="3187"/>
      <c r="AT56" s="3187"/>
      <c r="AU56" s="2293" t="s">
        <v>433</v>
      </c>
      <c r="AV56" s="2256"/>
      <c r="AW56" s="2294"/>
      <c r="AX56" s="2294" t="str">
        <f t="shared" si="1"/>
        <v>Территория действия тарифа</v>
      </c>
      <c r="AY56" s="2294"/>
      <c r="AZ56" s="2294"/>
      <c r="BA56" s="2219">
        <v>0</v>
      </c>
    </row>
    <row r="57" spans="1:53" s="2295" customFormat="1" ht="23.25" customHeight="1">
      <c r="A57" s="2284"/>
      <c r="B57" s="2284"/>
      <c r="C57" s="2284" t="s">
        <v>183</v>
      </c>
      <c r="D57" s="2284"/>
      <c r="E57" s="3200"/>
      <c r="F57" s="3200">
        <v>1</v>
      </c>
      <c r="G57" s="3199">
        <v>1</v>
      </c>
      <c r="H57" s="2284"/>
      <c r="I57" s="2284"/>
      <c r="J57" s="2284"/>
      <c r="K57" s="2284"/>
      <c r="L57" s="2285"/>
      <c r="M57" s="2286"/>
      <c r="N57" s="2286"/>
      <c r="O57" s="2286"/>
      <c r="P57" s="2296"/>
      <c r="Q57" s="2288"/>
      <c r="R57" s="2289"/>
      <c r="S57" s="2290" t="str">
        <f>INDEX(PT_DIFFERENTIATION_NUM_CS,MATCH(C57,PT_DIFFERENTIATION_CS_ID,0))</f>
        <v>1.2.1</v>
      </c>
      <c r="T57" s="2297" t="s">
        <v>434</v>
      </c>
      <c r="U57" s="2292"/>
      <c r="V57" s="3185"/>
      <c r="W57" s="3186"/>
      <c r="X57" s="3186"/>
      <c r="Y57" s="3186"/>
      <c r="Z57" s="3186"/>
      <c r="AA57" s="3186"/>
      <c r="AB57" s="3186"/>
      <c r="AC57" s="3187"/>
      <c r="AD57" s="3185" t="str">
        <f>INDEX(PT_DIFFERENTIATION_CS,MATCH(C57,PT_DIFFERENTIATION_CS_ID,0))</f>
        <v>без дифференциации</v>
      </c>
      <c r="AE57" s="3186"/>
      <c r="AF57" s="3186"/>
      <c r="AG57" s="3186"/>
      <c r="AH57" s="3186"/>
      <c r="AI57" s="3186"/>
      <c r="AJ57" s="3186"/>
      <c r="AK57" s="3186"/>
      <c r="AL57" s="3185"/>
      <c r="AM57" s="3186"/>
      <c r="AN57" s="3186"/>
      <c r="AO57" s="3186"/>
      <c r="AP57" s="3186"/>
      <c r="AQ57" s="3186"/>
      <c r="AR57" s="3186"/>
      <c r="AS57" s="3187"/>
      <c r="AT57" s="3187"/>
      <c r="AU57" s="2293" t="s">
        <v>435</v>
      </c>
      <c r="AV57" s="2256"/>
      <c r="AW57" s="2294"/>
      <c r="AX57" s="2294" t="str">
        <f t="shared" si="1"/>
        <v xml:space="preserve">Наименование системы теплоснабжения </v>
      </c>
      <c r="AY57" s="2294"/>
      <c r="AZ57" s="2294"/>
      <c r="BA57" s="2219">
        <v>0</v>
      </c>
    </row>
    <row r="58" spans="1:53" s="2298" customFormat="1" ht="21" customHeight="1">
      <c r="A58" s="2284"/>
      <c r="B58" s="2284"/>
      <c r="C58" s="2284"/>
      <c r="D58" s="2284" t="s">
        <v>184</v>
      </c>
      <c r="E58" s="3200"/>
      <c r="F58" s="3200">
        <v>1</v>
      </c>
      <c r="G58" s="3200"/>
      <c r="H58" s="3199">
        <v>1</v>
      </c>
      <c r="I58" s="2284"/>
      <c r="J58" s="2284"/>
      <c r="K58" s="2284"/>
      <c r="L58" s="2285"/>
      <c r="M58" s="2286"/>
      <c r="N58" s="2286"/>
      <c r="O58" s="2286"/>
      <c r="P58" s="2296"/>
      <c r="Q58" s="2288"/>
      <c r="R58" s="2289"/>
      <c r="S58" s="2290" t="str">
        <f>INDEX(PT_DIFFERENTIATION_NUM_IST_TE,MATCH(D58,PT_DIFFERENTIATION_IST_TE_ID,0))</f>
        <v>1.2.1.1</v>
      </c>
      <c r="T58" s="2299" t="s">
        <v>436</v>
      </c>
      <c r="U58" s="2292"/>
      <c r="V58" s="3185"/>
      <c r="W58" s="3186"/>
      <c r="X58" s="3186"/>
      <c r="Y58" s="3186"/>
      <c r="Z58" s="3186"/>
      <c r="AA58" s="3186"/>
      <c r="AB58" s="3186"/>
      <c r="AC58" s="3187"/>
      <c r="AD58" s="3185" t="str">
        <f>INDEX(PT_DIFFERENTIATION_IST_TE,MATCH(D58,PT_DIFFERENTIATION_IST_TE_ID,0))</f>
        <v>без дифференциации</v>
      </c>
      <c r="AE58" s="3186"/>
      <c r="AF58" s="3186"/>
      <c r="AG58" s="3186"/>
      <c r="AH58" s="3186"/>
      <c r="AI58" s="3186"/>
      <c r="AJ58" s="3186"/>
      <c r="AK58" s="3186"/>
      <c r="AL58" s="3185"/>
      <c r="AM58" s="3186"/>
      <c r="AN58" s="3186"/>
      <c r="AO58" s="3186"/>
      <c r="AP58" s="3186"/>
      <c r="AQ58" s="3186"/>
      <c r="AR58" s="3186"/>
      <c r="AS58" s="3187"/>
      <c r="AT58" s="3187"/>
      <c r="AU58" s="2293" t="s">
        <v>437</v>
      </c>
      <c r="AV58" s="2256"/>
      <c r="AW58" s="2294"/>
      <c r="AX58" s="2294" t="str">
        <f t="shared" si="1"/>
        <v xml:space="preserve">Источник тепловой энергии  </v>
      </c>
      <c r="AY58" s="2294"/>
      <c r="AZ58" s="2294"/>
      <c r="BA58" s="2219">
        <v>0</v>
      </c>
    </row>
    <row r="59" spans="1:53" s="2300" customFormat="1" ht="47.25" customHeight="1">
      <c r="A59" s="2284"/>
      <c r="B59" s="2284"/>
      <c r="C59" s="2284"/>
      <c r="D59" s="2284"/>
      <c r="E59" s="3200"/>
      <c r="F59" s="3200">
        <v>1</v>
      </c>
      <c r="G59" s="3200"/>
      <c r="H59" s="3200"/>
      <c r="I59" s="3197" t="str">
        <f>S58&amp;".1"</f>
        <v>1.2.1.1.1</v>
      </c>
      <c r="J59" s="2284"/>
      <c r="K59" s="2284"/>
      <c r="L59" s="2285" t="s">
        <v>438</v>
      </c>
      <c r="M59" s="2250"/>
      <c r="N59" s="2301"/>
      <c r="O59" s="2301"/>
      <c r="P59" s="3198">
        <v>1</v>
      </c>
      <c r="Q59" s="2302"/>
      <c r="R59" s="2303"/>
      <c r="S59" s="2290" t="str">
        <f>$I59</f>
        <v>1.2.1.1.1</v>
      </c>
      <c r="T59" s="2304" t="s">
        <v>439</v>
      </c>
      <c r="U59" s="2292"/>
      <c r="V59" s="3188"/>
      <c r="W59" s="3189"/>
      <c r="X59" s="3189"/>
      <c r="Y59" s="3189"/>
      <c r="Z59" s="3189"/>
      <c r="AA59" s="3189"/>
      <c r="AB59" s="3189"/>
      <c r="AC59" s="3190"/>
      <c r="AD59" s="3188" t="s">
        <v>481</v>
      </c>
      <c r="AE59" s="3189"/>
      <c r="AF59" s="3189"/>
      <c r="AG59" s="3189"/>
      <c r="AH59" s="3189"/>
      <c r="AI59" s="3189"/>
      <c r="AJ59" s="3189"/>
      <c r="AK59" s="3189"/>
      <c r="AL59" s="3188"/>
      <c r="AM59" s="3189"/>
      <c r="AN59" s="3189"/>
      <c r="AO59" s="3189"/>
      <c r="AP59" s="3189"/>
      <c r="AQ59" s="3189"/>
      <c r="AR59" s="3189"/>
      <c r="AS59" s="3190"/>
      <c r="AT59" s="3190"/>
      <c r="AU59" s="2293" t="s">
        <v>440</v>
      </c>
      <c r="AV59" s="2256"/>
      <c r="AW59" s="2294"/>
      <c r="AX59" s="2294" t="str">
        <f t="shared" si="1"/>
        <v>Схема подключения теплопотребляющей установки к коллектору источника тепловой энергии</v>
      </c>
      <c r="AY59" s="2294"/>
      <c r="AZ59" s="2294"/>
      <c r="BA59" s="2219">
        <v>0</v>
      </c>
    </row>
    <row r="60" spans="1:53" s="2305" customFormat="1" ht="21" customHeight="1">
      <c r="A60" s="2284"/>
      <c r="B60" s="2284"/>
      <c r="C60" s="2284"/>
      <c r="D60" s="2284"/>
      <c r="E60" s="3200"/>
      <c r="F60" s="3200">
        <v>1</v>
      </c>
      <c r="G60" s="3200"/>
      <c r="H60" s="3200"/>
      <c r="I60" s="3220"/>
      <c r="J60" s="3197" t="str">
        <f>I59&amp;".1"</f>
        <v>1.2.1.1.1.1</v>
      </c>
      <c r="K60" s="2284"/>
      <c r="L60" s="2285" t="s">
        <v>441</v>
      </c>
      <c r="M60" s="2250"/>
      <c r="N60" s="2250"/>
      <c r="O60" s="2301"/>
      <c r="P60" s="3198"/>
      <c r="Q60" s="3198">
        <v>1</v>
      </c>
      <c r="R60" s="2306"/>
      <c r="S60" s="2290" t="str">
        <f>$J60</f>
        <v>1.2.1.1.1.1</v>
      </c>
      <c r="T60" s="2307" t="s">
        <v>442</v>
      </c>
      <c r="U60" s="2292"/>
      <c r="V60" s="3188"/>
      <c r="W60" s="3189"/>
      <c r="X60" s="3189"/>
      <c r="Y60" s="3189"/>
      <c r="Z60" s="3189"/>
      <c r="AA60" s="3189"/>
      <c r="AB60" s="3189"/>
      <c r="AC60" s="3190"/>
      <c r="AD60" s="3188" t="s">
        <v>481</v>
      </c>
      <c r="AE60" s="3189"/>
      <c r="AF60" s="3189"/>
      <c r="AG60" s="3189"/>
      <c r="AH60" s="3189"/>
      <c r="AI60" s="3189"/>
      <c r="AJ60" s="3189"/>
      <c r="AK60" s="3189"/>
      <c r="AL60" s="3188"/>
      <c r="AM60" s="3189"/>
      <c r="AN60" s="3189"/>
      <c r="AO60" s="3189"/>
      <c r="AP60" s="3189"/>
      <c r="AQ60" s="3189"/>
      <c r="AR60" s="3189"/>
      <c r="AS60" s="3190"/>
      <c r="AT60" s="3190"/>
      <c r="AU60" s="2293" t="s">
        <v>443</v>
      </c>
      <c r="AV60" s="2256"/>
      <c r="AW60" s="2294"/>
      <c r="AX60" s="2294" t="str">
        <f t="shared" si="1"/>
        <v>Группа потребителей</v>
      </c>
      <c r="AY60" s="2294"/>
      <c r="AZ60" s="2294"/>
      <c r="BA60" s="2219">
        <v>0</v>
      </c>
    </row>
    <row r="61" spans="1:53" s="2308" customFormat="1" ht="21" customHeight="1">
      <c r="A61" s="2284"/>
      <c r="B61" s="2284"/>
      <c r="C61" s="2284"/>
      <c r="D61" s="2284"/>
      <c r="E61" s="3200"/>
      <c r="F61" s="3200">
        <v>1</v>
      </c>
      <c r="G61" s="3200"/>
      <c r="H61" s="3200"/>
      <c r="I61" s="3220"/>
      <c r="J61" s="3220"/>
      <c r="K61" s="3197" t="str">
        <f>J60&amp;".1"</f>
        <v>1.2.1.1.1.1.1</v>
      </c>
      <c r="L61" s="2285" t="s">
        <v>444</v>
      </c>
      <c r="M61" s="2250"/>
      <c r="N61" s="2250"/>
      <c r="O61" s="2250"/>
      <c r="P61" s="3198"/>
      <c r="Q61" s="3198"/>
      <c r="R61" s="2306">
        <v>1</v>
      </c>
      <c r="S61" s="2290" t="str">
        <f>$K61</f>
        <v>1.2.1.1.1.1.1</v>
      </c>
      <c r="T61" s="2309" t="s">
        <v>482</v>
      </c>
      <c r="U61" s="2292"/>
      <c r="V61" s="2220"/>
      <c r="W61" s="2221"/>
      <c r="X61" s="2220"/>
      <c r="Y61" s="2222"/>
      <c r="Z61" s="3202"/>
      <c r="AA61" s="3048" t="s">
        <v>67</v>
      </c>
      <c r="AB61" s="3202"/>
      <c r="AC61" s="3048" t="s">
        <v>67</v>
      </c>
      <c r="AD61" s="2220">
        <v>25899.34</v>
      </c>
      <c r="AE61" s="2221"/>
      <c r="AF61" s="2220"/>
      <c r="AG61" s="2222"/>
      <c r="AH61" s="3202">
        <v>45658</v>
      </c>
      <c r="AI61" s="3048" t="s">
        <v>67</v>
      </c>
      <c r="AJ61" s="3202">
        <v>45838</v>
      </c>
      <c r="AK61" s="3048" t="s">
        <v>67</v>
      </c>
      <c r="AL61" s="2220">
        <v>55325.04</v>
      </c>
      <c r="AM61" s="2221"/>
      <c r="AN61" s="2220"/>
      <c r="AO61" s="2222"/>
      <c r="AP61" s="3202">
        <v>45839</v>
      </c>
      <c r="AQ61" s="3048" t="s">
        <v>67</v>
      </c>
      <c r="AR61" s="3202">
        <v>46022</v>
      </c>
      <c r="AS61" s="3048" t="s">
        <v>67</v>
      </c>
      <c r="AT61" s="2221"/>
      <c r="AU61" s="3194" t="s">
        <v>445</v>
      </c>
      <c r="AV61" s="2256" t="e">
        <f ca="1">STRCHECKDATE(V62:AT62)</f>
        <v>#NAME?</v>
      </c>
      <c r="AW61" s="2294"/>
      <c r="AX61" s="2294" t="str">
        <f t="shared" si="1"/>
        <v>вода</v>
      </c>
      <c r="AY61" s="2294"/>
      <c r="AZ61" s="2294"/>
      <c r="BA61" s="2219">
        <v>0</v>
      </c>
    </row>
    <row r="62" spans="1:53" s="2310" customFormat="1" ht="0.75" customHeight="1">
      <c r="A62" s="2284"/>
      <c r="B62" s="2284"/>
      <c r="C62" s="2284"/>
      <c r="D62" s="2284"/>
      <c r="E62" s="3200"/>
      <c r="F62" s="3200">
        <v>1</v>
      </c>
      <c r="G62" s="3200"/>
      <c r="H62" s="3200"/>
      <c r="I62" s="3220"/>
      <c r="J62" s="3220"/>
      <c r="K62" s="3197"/>
      <c r="L62" s="2285"/>
      <c r="M62" s="2250"/>
      <c r="N62" s="2250"/>
      <c r="O62" s="2250"/>
      <c r="P62" s="3198"/>
      <c r="Q62" s="3198"/>
      <c r="R62" s="2306"/>
      <c r="S62" s="2311"/>
      <c r="T62" s="2292"/>
      <c r="U62" s="2292"/>
      <c r="V62" s="2221"/>
      <c r="W62" s="2221"/>
      <c r="X62" s="2221"/>
      <c r="Y62" s="2223" t="str">
        <f>Z61&amp;"-"&amp;AB61</f>
        <v>-</v>
      </c>
      <c r="Z62" s="3203"/>
      <c r="AA62" s="3048"/>
      <c r="AB62" s="3203"/>
      <c r="AC62" s="3048"/>
      <c r="AD62" s="2221"/>
      <c r="AE62" s="2221"/>
      <c r="AF62" s="2221"/>
      <c r="AG62" s="2223" t="str">
        <f>AH61&amp;"-"&amp;AJ61</f>
        <v>45658-45838</v>
      </c>
      <c r="AH62" s="3203"/>
      <c r="AI62" s="3048"/>
      <c r="AJ62" s="3203"/>
      <c r="AK62" s="3048"/>
      <c r="AL62" s="2221"/>
      <c r="AM62" s="2221"/>
      <c r="AN62" s="2221"/>
      <c r="AO62" s="2223" t="str">
        <f>AP61&amp;"-"&amp;AR61</f>
        <v>45839-46022</v>
      </c>
      <c r="AP62" s="3203"/>
      <c r="AQ62" s="3048"/>
      <c r="AR62" s="3203"/>
      <c r="AS62" s="3048"/>
      <c r="AT62" s="2221"/>
      <c r="AU62" s="3195"/>
      <c r="AV62" s="2256"/>
      <c r="AW62" s="2294"/>
      <c r="AX62" s="2294" t="str">
        <f t="shared" si="1"/>
        <v/>
      </c>
      <c r="AY62" s="2294"/>
      <c r="AZ62" s="2294"/>
      <c r="BA62" s="2219">
        <v>0</v>
      </c>
    </row>
    <row r="63" spans="1:53" s="2312" customFormat="1" ht="15" customHeight="1">
      <c r="A63" s="2284"/>
      <c r="B63" s="2284"/>
      <c r="C63" s="2284"/>
      <c r="D63" s="2284"/>
      <c r="E63" s="3200"/>
      <c r="F63" s="3200">
        <v>1</v>
      </c>
      <c r="G63" s="3200"/>
      <c r="H63" s="3200"/>
      <c r="I63" s="3220"/>
      <c r="J63" s="3197"/>
      <c r="K63" s="2284"/>
      <c r="L63" s="2285"/>
      <c r="M63" s="2250"/>
      <c r="N63" s="2250"/>
      <c r="O63" s="2301"/>
      <c r="P63" s="3198"/>
      <c r="Q63" s="3198"/>
      <c r="R63" s="2303"/>
      <c r="S63" s="2313"/>
      <c r="T63" s="2314" t="s">
        <v>446</v>
      </c>
      <c r="U63" s="2315"/>
      <c r="V63" s="2316"/>
      <c r="W63" s="2317"/>
      <c r="X63" s="2318"/>
      <c r="Y63" s="2319"/>
      <c r="Z63" s="2320"/>
      <c r="AA63" s="2321"/>
      <c r="AB63" s="2322"/>
      <c r="AC63" s="2323"/>
      <c r="AD63" s="2324"/>
      <c r="AE63" s="2325"/>
      <c r="AF63" s="2326"/>
      <c r="AG63" s="2327"/>
      <c r="AH63" s="2328"/>
      <c r="AI63" s="2329"/>
      <c r="AJ63" s="2330"/>
      <c r="AK63" s="2331"/>
      <c r="AL63" s="2332"/>
      <c r="AM63" s="2333"/>
      <c r="AN63" s="2334"/>
      <c r="AO63" s="2335"/>
      <c r="AP63" s="2336"/>
      <c r="AQ63" s="2337"/>
      <c r="AR63" s="2338"/>
      <c r="AS63" s="2339"/>
      <c r="AT63" s="2340"/>
      <c r="AU63" s="3196"/>
      <c r="AV63" s="2256"/>
      <c r="AW63" s="2294"/>
      <c r="AX63" s="2294" t="str">
        <f t="shared" si="1"/>
        <v>Добавить вид теплоносителя (параметры теплоносителя)</v>
      </c>
      <c r="AY63" s="2294"/>
      <c r="AZ63" s="2294"/>
      <c r="BA63" s="2219">
        <v>0</v>
      </c>
    </row>
    <row r="64" spans="1:53" s="2341" customFormat="1" ht="15" customHeight="1">
      <c r="A64" s="2284"/>
      <c r="B64" s="2284"/>
      <c r="C64" s="2284"/>
      <c r="D64" s="2284"/>
      <c r="E64" s="3200"/>
      <c r="F64" s="3200">
        <v>1</v>
      </c>
      <c r="G64" s="3200"/>
      <c r="H64" s="3200"/>
      <c r="I64" s="3197"/>
      <c r="J64" s="2284"/>
      <c r="K64" s="2284"/>
      <c r="L64" s="2285"/>
      <c r="M64" s="2250"/>
      <c r="N64" s="2301"/>
      <c r="O64" s="2301"/>
      <c r="P64" s="3198"/>
      <c r="Q64" s="2302"/>
      <c r="R64" s="2303"/>
      <c r="S64" s="2342"/>
      <c r="T64" s="2343" t="s">
        <v>447</v>
      </c>
      <c r="U64" s="2344"/>
      <c r="V64" s="2345"/>
      <c r="W64" s="2346"/>
      <c r="X64" s="2347"/>
      <c r="Y64" s="2348"/>
      <c r="Z64" s="2349"/>
      <c r="AA64" s="2350"/>
      <c r="AB64" s="2351"/>
      <c r="AC64" s="2352"/>
      <c r="AD64" s="2353"/>
      <c r="AE64" s="2354"/>
      <c r="AF64" s="2355"/>
      <c r="AG64" s="2356"/>
      <c r="AH64" s="2357"/>
      <c r="AI64" s="2358"/>
      <c r="AJ64" s="2359"/>
      <c r="AK64" s="2360"/>
      <c r="AL64" s="2361"/>
      <c r="AM64" s="2362"/>
      <c r="AN64" s="2363"/>
      <c r="AO64" s="2364"/>
      <c r="AP64" s="2365"/>
      <c r="AQ64" s="2366"/>
      <c r="AR64" s="2367"/>
      <c r="AS64" s="2368"/>
      <c r="AT64" s="2369"/>
      <c r="AU64" s="2370"/>
      <c r="AV64" s="2256"/>
      <c r="AW64" s="2294"/>
      <c r="AX64" s="2294" t="str">
        <f t="shared" si="1"/>
        <v>Добавить группу потребителей</v>
      </c>
      <c r="AY64" s="2294"/>
      <c r="AZ64" s="2294"/>
      <c r="BA64" s="2219">
        <v>0</v>
      </c>
    </row>
    <row r="65" spans="1:53" s="2371" customFormat="1" ht="14.25" customHeight="1">
      <c r="A65" s="2284"/>
      <c r="B65" s="2284"/>
      <c r="C65" s="2284"/>
      <c r="D65" s="2284"/>
      <c r="E65" s="3200"/>
      <c r="F65" s="3200">
        <v>1</v>
      </c>
      <c r="G65" s="3200"/>
      <c r="H65" s="3199"/>
      <c r="I65" s="2284"/>
      <c r="J65" s="2284"/>
      <c r="K65" s="2284"/>
      <c r="L65" s="2285"/>
      <c r="M65" s="2286"/>
      <c r="N65" s="2286"/>
      <c r="O65" s="2250"/>
      <c r="P65" s="2372"/>
      <c r="Q65" s="2373"/>
      <c r="R65" s="2374"/>
      <c r="S65" s="2375"/>
      <c r="T65" s="2376" t="s">
        <v>448</v>
      </c>
      <c r="U65" s="2377"/>
      <c r="V65" s="2378"/>
      <c r="W65" s="2379"/>
      <c r="X65" s="2380"/>
      <c r="Y65" s="2381"/>
      <c r="Z65" s="2382"/>
      <c r="AA65" s="2383"/>
      <c r="AB65" s="2384"/>
      <c r="AC65" s="2385"/>
      <c r="AD65" s="2386"/>
      <c r="AE65" s="2387"/>
      <c r="AF65" s="2388"/>
      <c r="AG65" s="2389"/>
      <c r="AH65" s="2390"/>
      <c r="AI65" s="2391"/>
      <c r="AJ65" s="2392"/>
      <c r="AK65" s="2393"/>
      <c r="AL65" s="2394"/>
      <c r="AM65" s="2395"/>
      <c r="AN65" s="2396"/>
      <c r="AO65" s="2397"/>
      <c r="AP65" s="2398"/>
      <c r="AQ65" s="2399"/>
      <c r="AR65" s="2400"/>
      <c r="AS65" s="2401"/>
      <c r="AT65" s="2402"/>
      <c r="AU65" s="2403"/>
      <c r="AV65" s="2256"/>
      <c r="AW65" s="2294"/>
      <c r="AX65" s="2294" t="str">
        <f t="shared" si="1"/>
        <v>Добавить схему подключения</v>
      </c>
      <c r="AY65" s="2294"/>
      <c r="AZ65" s="2294"/>
      <c r="BA65" s="2219">
        <v>0</v>
      </c>
    </row>
    <row r="66" spans="1:53" s="2404" customFormat="1" ht="0.75" customHeight="1">
      <c r="A66" s="2405"/>
      <c r="B66" s="2405"/>
      <c r="C66" s="2405"/>
      <c r="D66" s="2405"/>
      <c r="E66" s="3200"/>
      <c r="F66" s="3200">
        <v>1</v>
      </c>
      <c r="G66" s="3199"/>
      <c r="H66" s="2405"/>
      <c r="I66" s="2405"/>
      <c r="J66" s="2405"/>
      <c r="K66" s="2405"/>
      <c r="L66" s="2406"/>
      <c r="M66" s="2407"/>
      <c r="N66" s="2407"/>
      <c r="O66" s="2256"/>
      <c r="P66" s="2408"/>
      <c r="Q66" s="2409"/>
      <c r="R66" s="2408"/>
      <c r="S66" s="2410"/>
      <c r="T66" s="2411" t="s">
        <v>180</v>
      </c>
      <c r="U66" s="2248"/>
      <c r="V66" s="2248"/>
      <c r="W66" s="2248"/>
      <c r="X66" s="2248"/>
      <c r="Y66" s="2248"/>
      <c r="Z66" s="2248"/>
      <c r="AA66" s="2248"/>
      <c r="AB66" s="2248"/>
      <c r="AC66" s="2248"/>
      <c r="AD66" s="2248"/>
      <c r="AE66" s="2248"/>
      <c r="AF66" s="2248"/>
      <c r="AG66" s="2248"/>
      <c r="AH66" s="2248"/>
      <c r="AI66" s="2248"/>
      <c r="AJ66" s="2248"/>
      <c r="AK66" s="2248"/>
      <c r="AL66" s="2248"/>
      <c r="AM66" s="2248"/>
      <c r="AN66" s="2248"/>
      <c r="AO66" s="2248"/>
      <c r="AP66" s="2248"/>
      <c r="AQ66" s="2248"/>
      <c r="AR66" s="2248"/>
      <c r="AS66" s="2248"/>
      <c r="AT66" s="2248"/>
      <c r="AU66" s="2248"/>
      <c r="AV66" s="2256"/>
      <c r="AW66" s="2294"/>
      <c r="AX66" s="2294" t="str">
        <f t="shared" si="1"/>
        <v>Добавить источник для дифференциации</v>
      </c>
      <c r="AY66" s="2294"/>
      <c r="AZ66" s="2294"/>
      <c r="BA66" s="2256">
        <v>0</v>
      </c>
    </row>
    <row r="67" spans="1:53" s="2412" customFormat="1" ht="0.75" customHeight="1">
      <c r="A67" s="2405"/>
      <c r="B67" s="2405"/>
      <c r="C67" s="2405"/>
      <c r="D67" s="2405"/>
      <c r="E67" s="3200"/>
      <c r="F67" s="3199">
        <v>1</v>
      </c>
      <c r="G67" s="2405"/>
      <c r="H67" s="2405"/>
      <c r="I67" s="2405"/>
      <c r="J67" s="2405"/>
      <c r="K67" s="2405"/>
      <c r="L67" s="2406"/>
      <c r="M67" s="2413"/>
      <c r="N67" s="2413"/>
      <c r="O67" s="2256"/>
      <c r="P67" s="2408"/>
      <c r="Q67" s="2409"/>
      <c r="R67" s="2408"/>
      <c r="S67" s="2414"/>
      <c r="T67" s="2415" t="s">
        <v>181</v>
      </c>
      <c r="U67" s="2249"/>
      <c r="V67" s="2249"/>
      <c r="W67" s="2249"/>
      <c r="X67" s="2249"/>
      <c r="Y67" s="2249"/>
      <c r="Z67" s="2249"/>
      <c r="AA67" s="2249"/>
      <c r="AB67" s="2249"/>
      <c r="AC67" s="2249"/>
      <c r="AD67" s="2249"/>
      <c r="AE67" s="2249"/>
      <c r="AF67" s="2249"/>
      <c r="AG67" s="2249"/>
      <c r="AH67" s="2249"/>
      <c r="AI67" s="2249"/>
      <c r="AJ67" s="2249"/>
      <c r="AK67" s="2249"/>
      <c r="AL67" s="2249"/>
      <c r="AM67" s="2249"/>
      <c r="AN67" s="2249"/>
      <c r="AO67" s="2249"/>
      <c r="AP67" s="2249"/>
      <c r="AQ67" s="2249"/>
      <c r="AR67" s="2249"/>
      <c r="AS67" s="2249"/>
      <c r="AT67" s="2249"/>
      <c r="AU67" s="2249"/>
      <c r="AV67" s="2256"/>
      <c r="AW67" s="2294"/>
      <c r="AX67" s="2294" t="str">
        <f t="shared" si="1"/>
        <v>Добавить централизованную систему для дифференциации</v>
      </c>
      <c r="AY67" s="2294"/>
      <c r="AZ67" s="2294"/>
      <c r="BA67" s="2256">
        <v>0</v>
      </c>
    </row>
    <row r="68" spans="1:53" s="2416" customFormat="1" ht="21" customHeight="1">
      <c r="A68" s="2284"/>
      <c r="B68" s="2284" t="s">
        <v>185</v>
      </c>
      <c r="C68" s="2284"/>
      <c r="D68" s="2284"/>
      <c r="E68" s="3200"/>
      <c r="F68" s="3199" t="s">
        <v>91</v>
      </c>
      <c r="G68" s="2284"/>
      <c r="H68" s="2284"/>
      <c r="I68" s="2284"/>
      <c r="J68" s="2284"/>
      <c r="K68" s="2284"/>
      <c r="L68" s="2285"/>
      <c r="M68" s="2286"/>
      <c r="N68" s="2286"/>
      <c r="O68" s="2286"/>
      <c r="P68" s="2287"/>
      <c r="Q68" s="2288"/>
      <c r="R68" s="2289"/>
      <c r="S68" s="2290" t="str">
        <f>INDEX(PT_DIFFERENTIATION_NUM_TER,MATCH(B68,PT_DIFFERENTIATION_TER_ID,0))</f>
        <v>1.3</v>
      </c>
      <c r="T68" s="2291" t="s">
        <v>432</v>
      </c>
      <c r="U68" s="2292"/>
      <c r="V68" s="3185"/>
      <c r="W68" s="3186"/>
      <c r="X68" s="3186"/>
      <c r="Y68" s="3186"/>
      <c r="Z68" s="3186"/>
      <c r="AA68" s="3186"/>
      <c r="AB68" s="3186"/>
      <c r="AC68" s="3187"/>
      <c r="AD68" s="3185" t="str">
        <f>INDEX(PT_DIFFERENTIATION_TER,MATCH(B68,PT_DIFFERENTIATION_TER_ID,0))</f>
        <v>Территория 3</v>
      </c>
      <c r="AE68" s="3186"/>
      <c r="AF68" s="3186"/>
      <c r="AG68" s="3186"/>
      <c r="AH68" s="3186"/>
      <c r="AI68" s="3186"/>
      <c r="AJ68" s="3186"/>
      <c r="AK68" s="3186"/>
      <c r="AL68" s="3185"/>
      <c r="AM68" s="3186"/>
      <c r="AN68" s="3186"/>
      <c r="AO68" s="3186"/>
      <c r="AP68" s="3186"/>
      <c r="AQ68" s="3186"/>
      <c r="AR68" s="3186"/>
      <c r="AS68" s="3187"/>
      <c r="AT68" s="3187"/>
      <c r="AU68" s="2293" t="s">
        <v>433</v>
      </c>
      <c r="AV68" s="2256"/>
      <c r="AW68" s="2294"/>
      <c r="AX68" s="2294" t="str">
        <f t="shared" si="1"/>
        <v>Территория действия тарифа</v>
      </c>
      <c r="AY68" s="2294"/>
      <c r="AZ68" s="2294"/>
      <c r="BA68" s="2219">
        <v>0</v>
      </c>
    </row>
    <row r="69" spans="1:53" s="2417" customFormat="1" ht="23.25" customHeight="1">
      <c r="A69" s="2284"/>
      <c r="B69" s="2284"/>
      <c r="C69" s="2284" t="s">
        <v>186</v>
      </c>
      <c r="D69" s="2284"/>
      <c r="E69" s="3200"/>
      <c r="F69" s="3200" t="s">
        <v>104</v>
      </c>
      <c r="G69" s="3199">
        <v>1</v>
      </c>
      <c r="H69" s="2284"/>
      <c r="I69" s="2284"/>
      <c r="J69" s="2284"/>
      <c r="K69" s="2284"/>
      <c r="L69" s="2285"/>
      <c r="M69" s="2286"/>
      <c r="N69" s="2286"/>
      <c r="O69" s="2286"/>
      <c r="P69" s="2296"/>
      <c r="Q69" s="2288"/>
      <c r="R69" s="2289"/>
      <c r="S69" s="2290" t="str">
        <f>INDEX(PT_DIFFERENTIATION_NUM_CS,MATCH(C69,PT_DIFFERENTIATION_CS_ID,0))</f>
        <v>1.3.1</v>
      </c>
      <c r="T69" s="2297" t="s">
        <v>434</v>
      </c>
      <c r="U69" s="2292"/>
      <c r="V69" s="3185"/>
      <c r="W69" s="3186"/>
      <c r="X69" s="3186"/>
      <c r="Y69" s="3186"/>
      <c r="Z69" s="3186"/>
      <c r="AA69" s="3186"/>
      <c r="AB69" s="3186"/>
      <c r="AC69" s="3187"/>
      <c r="AD69" s="3185" t="str">
        <f>INDEX(PT_DIFFERENTIATION_CS,MATCH(C69,PT_DIFFERENTIATION_CS_ID,0))</f>
        <v>без дифференциации</v>
      </c>
      <c r="AE69" s="3186"/>
      <c r="AF69" s="3186"/>
      <c r="AG69" s="3186"/>
      <c r="AH69" s="3186"/>
      <c r="AI69" s="3186"/>
      <c r="AJ69" s="3186"/>
      <c r="AK69" s="3186"/>
      <c r="AL69" s="3185"/>
      <c r="AM69" s="3186"/>
      <c r="AN69" s="3186"/>
      <c r="AO69" s="3186"/>
      <c r="AP69" s="3186"/>
      <c r="AQ69" s="3186"/>
      <c r="AR69" s="3186"/>
      <c r="AS69" s="3187"/>
      <c r="AT69" s="3187"/>
      <c r="AU69" s="2293" t="s">
        <v>435</v>
      </c>
      <c r="AV69" s="2256"/>
      <c r="AW69" s="2294"/>
      <c r="AX69" s="2294" t="str">
        <f t="shared" si="1"/>
        <v xml:space="preserve">Наименование системы теплоснабжения </v>
      </c>
      <c r="AY69" s="2294"/>
      <c r="AZ69" s="2294"/>
      <c r="BA69" s="2219">
        <v>0</v>
      </c>
    </row>
    <row r="70" spans="1:53" s="2418" customFormat="1" ht="21" customHeight="1">
      <c r="A70" s="2284"/>
      <c r="B70" s="2284"/>
      <c r="C70" s="2284"/>
      <c r="D70" s="2284" t="s">
        <v>187</v>
      </c>
      <c r="E70" s="3200"/>
      <c r="F70" s="3200" t="s">
        <v>104</v>
      </c>
      <c r="G70" s="3200"/>
      <c r="H70" s="3199">
        <v>1</v>
      </c>
      <c r="I70" s="2284"/>
      <c r="J70" s="2284"/>
      <c r="K70" s="2284"/>
      <c r="L70" s="2285"/>
      <c r="M70" s="2286"/>
      <c r="N70" s="2286"/>
      <c r="O70" s="2286"/>
      <c r="P70" s="2296"/>
      <c r="Q70" s="2288"/>
      <c r="R70" s="2289"/>
      <c r="S70" s="2290" t="str">
        <f>INDEX(PT_DIFFERENTIATION_NUM_IST_TE,MATCH(D70,PT_DIFFERENTIATION_IST_TE_ID,0))</f>
        <v>1.3.1.1</v>
      </c>
      <c r="T70" s="2299" t="s">
        <v>436</v>
      </c>
      <c r="U70" s="2292"/>
      <c r="V70" s="3185"/>
      <c r="W70" s="3186"/>
      <c r="X70" s="3186"/>
      <c r="Y70" s="3186"/>
      <c r="Z70" s="3186"/>
      <c r="AA70" s="3186"/>
      <c r="AB70" s="3186"/>
      <c r="AC70" s="3187"/>
      <c r="AD70" s="3185" t="str">
        <f>INDEX(PT_DIFFERENTIATION_IST_TE,MATCH(D70,PT_DIFFERENTIATION_IST_TE_ID,0))</f>
        <v>без дифференциации</v>
      </c>
      <c r="AE70" s="3186"/>
      <c r="AF70" s="3186"/>
      <c r="AG70" s="3186"/>
      <c r="AH70" s="3186"/>
      <c r="AI70" s="3186"/>
      <c r="AJ70" s="3186"/>
      <c r="AK70" s="3186"/>
      <c r="AL70" s="3185"/>
      <c r="AM70" s="3186"/>
      <c r="AN70" s="3186"/>
      <c r="AO70" s="3186"/>
      <c r="AP70" s="3186"/>
      <c r="AQ70" s="3186"/>
      <c r="AR70" s="3186"/>
      <c r="AS70" s="3187"/>
      <c r="AT70" s="3187"/>
      <c r="AU70" s="2293" t="s">
        <v>437</v>
      </c>
      <c r="AV70" s="2256"/>
      <c r="AW70" s="2294"/>
      <c r="AX70" s="2294" t="str">
        <f t="shared" si="1"/>
        <v xml:space="preserve">Источник тепловой энергии  </v>
      </c>
      <c r="AY70" s="2294"/>
      <c r="AZ70" s="2294"/>
      <c r="BA70" s="2219">
        <v>0</v>
      </c>
    </row>
    <row r="71" spans="1:53" s="2419" customFormat="1" ht="47.25" customHeight="1">
      <c r="A71" s="2284"/>
      <c r="B71" s="2284"/>
      <c r="C71" s="2284"/>
      <c r="D71" s="2284"/>
      <c r="E71" s="3200"/>
      <c r="F71" s="3200" t="s">
        <v>104</v>
      </c>
      <c r="G71" s="3200"/>
      <c r="H71" s="3200"/>
      <c r="I71" s="3197" t="str">
        <f>S70&amp;".1"</f>
        <v>1.3.1.1.1</v>
      </c>
      <c r="J71" s="2284"/>
      <c r="K71" s="2284"/>
      <c r="L71" s="2285" t="s">
        <v>438</v>
      </c>
      <c r="M71" s="2250"/>
      <c r="N71" s="2301"/>
      <c r="O71" s="2301"/>
      <c r="P71" s="3198">
        <v>1</v>
      </c>
      <c r="Q71" s="2302"/>
      <c r="R71" s="2303"/>
      <c r="S71" s="2290" t="str">
        <f>$I71</f>
        <v>1.3.1.1.1</v>
      </c>
      <c r="T71" s="2304" t="s">
        <v>439</v>
      </c>
      <c r="U71" s="2292"/>
      <c r="V71" s="3188"/>
      <c r="W71" s="3189"/>
      <c r="X71" s="3189"/>
      <c r="Y71" s="3189"/>
      <c r="Z71" s="3189"/>
      <c r="AA71" s="3189"/>
      <c r="AB71" s="3189"/>
      <c r="AC71" s="3190"/>
      <c r="AD71" s="3188" t="s">
        <v>481</v>
      </c>
      <c r="AE71" s="3189"/>
      <c r="AF71" s="3189"/>
      <c r="AG71" s="3189"/>
      <c r="AH71" s="3189"/>
      <c r="AI71" s="3189"/>
      <c r="AJ71" s="3189"/>
      <c r="AK71" s="3189"/>
      <c r="AL71" s="3188"/>
      <c r="AM71" s="3189"/>
      <c r="AN71" s="3189"/>
      <c r="AO71" s="3189"/>
      <c r="AP71" s="3189"/>
      <c r="AQ71" s="3189"/>
      <c r="AR71" s="3189"/>
      <c r="AS71" s="3190"/>
      <c r="AT71" s="3190"/>
      <c r="AU71" s="2293" t="s">
        <v>440</v>
      </c>
      <c r="AV71" s="2256"/>
      <c r="AW71" s="2294"/>
      <c r="AX71" s="2294" t="str">
        <f t="shared" si="1"/>
        <v>Схема подключения теплопотребляющей установки к коллектору источника тепловой энергии</v>
      </c>
      <c r="AY71" s="2294"/>
      <c r="AZ71" s="2294"/>
      <c r="BA71" s="2219">
        <v>0</v>
      </c>
    </row>
    <row r="72" spans="1:53" s="2420" customFormat="1" ht="21" customHeight="1">
      <c r="A72" s="2284"/>
      <c r="B72" s="2284"/>
      <c r="C72" s="2284"/>
      <c r="D72" s="2284"/>
      <c r="E72" s="3200"/>
      <c r="F72" s="3200" t="s">
        <v>104</v>
      </c>
      <c r="G72" s="3200"/>
      <c r="H72" s="3200"/>
      <c r="I72" s="3220"/>
      <c r="J72" s="3197" t="str">
        <f>I71&amp;".1"</f>
        <v>1.3.1.1.1.1</v>
      </c>
      <c r="K72" s="2284"/>
      <c r="L72" s="2285" t="s">
        <v>441</v>
      </c>
      <c r="M72" s="2250"/>
      <c r="N72" s="2250"/>
      <c r="O72" s="2301"/>
      <c r="P72" s="3198"/>
      <c r="Q72" s="3198">
        <v>1</v>
      </c>
      <c r="R72" s="2306"/>
      <c r="S72" s="2290" t="str">
        <f>$J72</f>
        <v>1.3.1.1.1.1</v>
      </c>
      <c r="T72" s="2307" t="s">
        <v>442</v>
      </c>
      <c r="U72" s="2292"/>
      <c r="V72" s="3188"/>
      <c r="W72" s="3189"/>
      <c r="X72" s="3189"/>
      <c r="Y72" s="3189"/>
      <c r="Z72" s="3189"/>
      <c r="AA72" s="3189"/>
      <c r="AB72" s="3189"/>
      <c r="AC72" s="3190"/>
      <c r="AD72" s="3188" t="s">
        <v>481</v>
      </c>
      <c r="AE72" s="3189"/>
      <c r="AF72" s="3189"/>
      <c r="AG72" s="3189"/>
      <c r="AH72" s="3189"/>
      <c r="AI72" s="3189"/>
      <c r="AJ72" s="3189"/>
      <c r="AK72" s="3189"/>
      <c r="AL72" s="3188"/>
      <c r="AM72" s="3189"/>
      <c r="AN72" s="3189"/>
      <c r="AO72" s="3189"/>
      <c r="AP72" s="3189"/>
      <c r="AQ72" s="3189"/>
      <c r="AR72" s="3189"/>
      <c r="AS72" s="3190"/>
      <c r="AT72" s="3190"/>
      <c r="AU72" s="2293" t="s">
        <v>443</v>
      </c>
      <c r="AV72" s="2256"/>
      <c r="AW72" s="2294"/>
      <c r="AX72" s="2294" t="str">
        <f t="shared" si="1"/>
        <v>Группа потребителей</v>
      </c>
      <c r="AY72" s="2294"/>
      <c r="AZ72" s="2294"/>
      <c r="BA72" s="2219">
        <v>0</v>
      </c>
    </row>
    <row r="73" spans="1:53" s="2421" customFormat="1" ht="21" customHeight="1">
      <c r="A73" s="2284"/>
      <c r="B73" s="2284"/>
      <c r="C73" s="2284"/>
      <c r="D73" s="2284"/>
      <c r="E73" s="3200"/>
      <c r="F73" s="3200" t="s">
        <v>104</v>
      </c>
      <c r="G73" s="3200"/>
      <c r="H73" s="3200"/>
      <c r="I73" s="3220"/>
      <c r="J73" s="3220"/>
      <c r="K73" s="3197" t="str">
        <f>J72&amp;".1"</f>
        <v>1.3.1.1.1.1.1</v>
      </c>
      <c r="L73" s="2285" t="s">
        <v>444</v>
      </c>
      <c r="M73" s="2250"/>
      <c r="N73" s="2250"/>
      <c r="O73" s="2250"/>
      <c r="P73" s="3198"/>
      <c r="Q73" s="3198"/>
      <c r="R73" s="2306">
        <v>1</v>
      </c>
      <c r="S73" s="2290" t="str">
        <f>$K73</f>
        <v>1.3.1.1.1.1.1</v>
      </c>
      <c r="T73" s="2309" t="s">
        <v>482</v>
      </c>
      <c r="U73" s="2292"/>
      <c r="V73" s="2220"/>
      <c r="W73" s="2221"/>
      <c r="X73" s="2220"/>
      <c r="Y73" s="2222"/>
      <c r="Z73" s="3202"/>
      <c r="AA73" s="3048" t="s">
        <v>67</v>
      </c>
      <c r="AB73" s="3202"/>
      <c r="AC73" s="3048" t="s">
        <v>67</v>
      </c>
      <c r="AD73" s="2220">
        <v>26040.12</v>
      </c>
      <c r="AE73" s="2221"/>
      <c r="AF73" s="2220"/>
      <c r="AG73" s="2222"/>
      <c r="AH73" s="3202">
        <v>45658</v>
      </c>
      <c r="AI73" s="3048" t="s">
        <v>67</v>
      </c>
      <c r="AJ73" s="3202">
        <v>45838</v>
      </c>
      <c r="AK73" s="3048" t="s">
        <v>67</v>
      </c>
      <c r="AL73" s="2220">
        <v>26040.12</v>
      </c>
      <c r="AM73" s="2221"/>
      <c r="AN73" s="2220"/>
      <c r="AO73" s="2222"/>
      <c r="AP73" s="3202">
        <v>45839</v>
      </c>
      <c r="AQ73" s="3048" t="s">
        <v>67</v>
      </c>
      <c r="AR73" s="3202">
        <v>46022</v>
      </c>
      <c r="AS73" s="3048" t="s">
        <v>67</v>
      </c>
      <c r="AT73" s="2221"/>
      <c r="AU73" s="3194" t="s">
        <v>445</v>
      </c>
      <c r="AV73" s="2256" t="e">
        <f ca="1">STRCHECKDATE(V74:AT74)</f>
        <v>#NAME?</v>
      </c>
      <c r="AW73" s="2294"/>
      <c r="AX73" s="2294" t="str">
        <f t="shared" si="1"/>
        <v>вода</v>
      </c>
      <c r="AY73" s="2294"/>
      <c r="AZ73" s="2294"/>
      <c r="BA73" s="2219">
        <v>0</v>
      </c>
    </row>
    <row r="74" spans="1:53" s="2422" customFormat="1" ht="0.75" customHeight="1">
      <c r="A74" s="2284"/>
      <c r="B74" s="2284"/>
      <c r="C74" s="2284"/>
      <c r="D74" s="2284"/>
      <c r="E74" s="3200"/>
      <c r="F74" s="3200" t="s">
        <v>104</v>
      </c>
      <c r="G74" s="3200"/>
      <c r="H74" s="3200"/>
      <c r="I74" s="3220"/>
      <c r="J74" s="3220"/>
      <c r="K74" s="3197"/>
      <c r="L74" s="2285"/>
      <c r="M74" s="2250"/>
      <c r="N74" s="2250"/>
      <c r="O74" s="2250"/>
      <c r="P74" s="3198"/>
      <c r="Q74" s="3198"/>
      <c r="R74" s="2306"/>
      <c r="S74" s="2311"/>
      <c r="T74" s="2292"/>
      <c r="U74" s="2292"/>
      <c r="V74" s="2221"/>
      <c r="W74" s="2221"/>
      <c r="X74" s="2221"/>
      <c r="Y74" s="2223" t="str">
        <f>Z73&amp;"-"&amp;AB73</f>
        <v>-</v>
      </c>
      <c r="Z74" s="3203"/>
      <c r="AA74" s="3048"/>
      <c r="AB74" s="3203"/>
      <c r="AC74" s="3048"/>
      <c r="AD74" s="2221"/>
      <c r="AE74" s="2221"/>
      <c r="AF74" s="2221"/>
      <c r="AG74" s="2223" t="str">
        <f>AH73&amp;"-"&amp;AJ73</f>
        <v>45658-45838</v>
      </c>
      <c r="AH74" s="3203"/>
      <c r="AI74" s="3048"/>
      <c r="AJ74" s="3203"/>
      <c r="AK74" s="3048"/>
      <c r="AL74" s="2221"/>
      <c r="AM74" s="2221"/>
      <c r="AN74" s="2221"/>
      <c r="AO74" s="2223" t="str">
        <f>AP73&amp;"-"&amp;AR73</f>
        <v>45839-46022</v>
      </c>
      <c r="AP74" s="3203"/>
      <c r="AQ74" s="3048"/>
      <c r="AR74" s="3203"/>
      <c r="AS74" s="3048"/>
      <c r="AT74" s="2221"/>
      <c r="AU74" s="3195"/>
      <c r="AV74" s="2256"/>
      <c r="AW74" s="2294"/>
      <c r="AX74" s="2294" t="str">
        <f t="shared" si="1"/>
        <v/>
      </c>
      <c r="AY74" s="2294"/>
      <c r="AZ74" s="2294"/>
      <c r="BA74" s="2219">
        <v>0</v>
      </c>
    </row>
    <row r="75" spans="1:53" s="2423" customFormat="1" ht="15" customHeight="1">
      <c r="A75" s="2284"/>
      <c r="B75" s="2284"/>
      <c r="C75" s="2284"/>
      <c r="D75" s="2284"/>
      <c r="E75" s="3200"/>
      <c r="F75" s="3200" t="s">
        <v>104</v>
      </c>
      <c r="G75" s="3200"/>
      <c r="H75" s="3200"/>
      <c r="I75" s="3220"/>
      <c r="J75" s="3197"/>
      <c r="K75" s="2284"/>
      <c r="L75" s="2285"/>
      <c r="M75" s="2250"/>
      <c r="N75" s="2250"/>
      <c r="O75" s="2301"/>
      <c r="P75" s="3198"/>
      <c r="Q75" s="3198"/>
      <c r="R75" s="2303"/>
      <c r="S75" s="2424"/>
      <c r="T75" s="2425" t="s">
        <v>446</v>
      </c>
      <c r="U75" s="2426"/>
      <c r="V75" s="2427"/>
      <c r="W75" s="2428"/>
      <c r="X75" s="2429"/>
      <c r="Y75" s="2430"/>
      <c r="Z75" s="2431"/>
      <c r="AA75" s="2432"/>
      <c r="AB75" s="2433"/>
      <c r="AC75" s="2434"/>
      <c r="AD75" s="2435"/>
      <c r="AE75" s="2436"/>
      <c r="AF75" s="2437"/>
      <c r="AG75" s="2438"/>
      <c r="AH75" s="2439"/>
      <c r="AI75" s="2440"/>
      <c r="AJ75" s="2441"/>
      <c r="AK75" s="2442"/>
      <c r="AL75" s="2443"/>
      <c r="AM75" s="2444"/>
      <c r="AN75" s="2445"/>
      <c r="AO75" s="2446"/>
      <c r="AP75" s="2447"/>
      <c r="AQ75" s="2448"/>
      <c r="AR75" s="2449"/>
      <c r="AS75" s="2450"/>
      <c r="AT75" s="2451"/>
      <c r="AU75" s="3196"/>
      <c r="AV75" s="2256"/>
      <c r="AW75" s="2294"/>
      <c r="AX75" s="2294" t="str">
        <f t="shared" si="1"/>
        <v>Добавить вид теплоносителя (параметры теплоносителя)</v>
      </c>
      <c r="AY75" s="2294"/>
      <c r="AZ75" s="2294"/>
      <c r="BA75" s="2219">
        <v>0</v>
      </c>
    </row>
    <row r="76" spans="1:53" s="2452" customFormat="1" ht="15" customHeight="1">
      <c r="A76" s="2284"/>
      <c r="B76" s="2284"/>
      <c r="C76" s="2284"/>
      <c r="D76" s="2284"/>
      <c r="E76" s="3200"/>
      <c r="F76" s="3200" t="s">
        <v>104</v>
      </c>
      <c r="G76" s="3200"/>
      <c r="H76" s="3200"/>
      <c r="I76" s="3197"/>
      <c r="J76" s="2284"/>
      <c r="K76" s="2284"/>
      <c r="L76" s="2285"/>
      <c r="M76" s="2250"/>
      <c r="N76" s="2301"/>
      <c r="O76" s="2301"/>
      <c r="P76" s="3198"/>
      <c r="Q76" s="2302"/>
      <c r="R76" s="2303"/>
      <c r="S76" s="2453"/>
      <c r="T76" s="2454" t="s">
        <v>447</v>
      </c>
      <c r="U76" s="2455"/>
      <c r="V76" s="2456"/>
      <c r="W76" s="2457"/>
      <c r="X76" s="2458"/>
      <c r="Y76" s="2459"/>
      <c r="Z76" s="2460"/>
      <c r="AA76" s="2461"/>
      <c r="AB76" s="2462"/>
      <c r="AC76" s="2463"/>
      <c r="AD76" s="2464"/>
      <c r="AE76" s="2465"/>
      <c r="AF76" s="2466"/>
      <c r="AG76" s="2467"/>
      <c r="AH76" s="2468"/>
      <c r="AI76" s="2469"/>
      <c r="AJ76" s="2470"/>
      <c r="AK76" s="2471"/>
      <c r="AL76" s="2472"/>
      <c r="AM76" s="2473"/>
      <c r="AN76" s="2474"/>
      <c r="AO76" s="2475"/>
      <c r="AP76" s="2476"/>
      <c r="AQ76" s="2477"/>
      <c r="AR76" s="2478"/>
      <c r="AS76" s="2479"/>
      <c r="AT76" s="2480"/>
      <c r="AU76" s="2481"/>
      <c r="AV76" s="2256"/>
      <c r="AW76" s="2294"/>
      <c r="AX76" s="2294" t="str">
        <f t="shared" si="1"/>
        <v>Добавить группу потребителей</v>
      </c>
      <c r="AY76" s="2294"/>
      <c r="AZ76" s="2294"/>
      <c r="BA76" s="2219">
        <v>0</v>
      </c>
    </row>
    <row r="77" spans="1:53" s="2482" customFormat="1" ht="14.25" customHeight="1">
      <c r="A77" s="2284"/>
      <c r="B77" s="2284"/>
      <c r="C77" s="2284"/>
      <c r="D77" s="2284"/>
      <c r="E77" s="3200"/>
      <c r="F77" s="3200" t="s">
        <v>104</v>
      </c>
      <c r="G77" s="3200"/>
      <c r="H77" s="3199"/>
      <c r="I77" s="2284"/>
      <c r="J77" s="2284"/>
      <c r="K77" s="2284"/>
      <c r="L77" s="2285"/>
      <c r="M77" s="2286"/>
      <c r="N77" s="2286"/>
      <c r="O77" s="2250"/>
      <c r="P77" s="2372"/>
      <c r="Q77" s="2373"/>
      <c r="R77" s="2374"/>
      <c r="S77" s="2483"/>
      <c r="T77" s="2484" t="s">
        <v>448</v>
      </c>
      <c r="U77" s="2485"/>
      <c r="V77" s="2486"/>
      <c r="W77" s="2487"/>
      <c r="X77" s="2488"/>
      <c r="Y77" s="2489"/>
      <c r="Z77" s="2490"/>
      <c r="AA77" s="2491"/>
      <c r="AB77" s="2492"/>
      <c r="AC77" s="2493"/>
      <c r="AD77" s="2494"/>
      <c r="AE77" s="2495"/>
      <c r="AF77" s="2496"/>
      <c r="AG77" s="2497"/>
      <c r="AH77" s="2498"/>
      <c r="AI77" s="2499"/>
      <c r="AJ77" s="2500"/>
      <c r="AK77" s="2501"/>
      <c r="AL77" s="2502"/>
      <c r="AM77" s="2503"/>
      <c r="AN77" s="2504"/>
      <c r="AO77" s="2505"/>
      <c r="AP77" s="2506"/>
      <c r="AQ77" s="2507"/>
      <c r="AR77" s="2508"/>
      <c r="AS77" s="2509"/>
      <c r="AT77" s="2510"/>
      <c r="AU77" s="2511"/>
      <c r="AV77" s="2256"/>
      <c r="AW77" s="2294"/>
      <c r="AX77" s="2294" t="str">
        <f t="shared" si="1"/>
        <v>Добавить схему подключения</v>
      </c>
      <c r="AY77" s="2294"/>
      <c r="AZ77" s="2294"/>
      <c r="BA77" s="2219">
        <v>0</v>
      </c>
    </row>
    <row r="78" spans="1:53" s="2512" customFormat="1" ht="0.75" customHeight="1">
      <c r="A78" s="2405"/>
      <c r="B78" s="2405"/>
      <c r="C78" s="2405"/>
      <c r="D78" s="2405"/>
      <c r="E78" s="3200"/>
      <c r="F78" s="3200" t="s">
        <v>104</v>
      </c>
      <c r="G78" s="3199"/>
      <c r="H78" s="2405"/>
      <c r="I78" s="2405"/>
      <c r="J78" s="2405"/>
      <c r="K78" s="2405"/>
      <c r="L78" s="2406"/>
      <c r="M78" s="2407"/>
      <c r="N78" s="2407"/>
      <c r="O78" s="2256"/>
      <c r="P78" s="2408"/>
      <c r="Q78" s="2409"/>
      <c r="R78" s="2408"/>
      <c r="S78" s="2410"/>
      <c r="T78" s="2411" t="s">
        <v>180</v>
      </c>
      <c r="U78" s="2248"/>
      <c r="V78" s="2248"/>
      <c r="W78" s="2248"/>
      <c r="X78" s="2248"/>
      <c r="Y78" s="2248"/>
      <c r="Z78" s="2248"/>
      <c r="AA78" s="2248"/>
      <c r="AB78" s="2248"/>
      <c r="AC78" s="2248"/>
      <c r="AD78" s="2248"/>
      <c r="AE78" s="2248"/>
      <c r="AF78" s="2248"/>
      <c r="AG78" s="2248"/>
      <c r="AH78" s="2248"/>
      <c r="AI78" s="2248"/>
      <c r="AJ78" s="2248"/>
      <c r="AK78" s="2248"/>
      <c r="AL78" s="2248"/>
      <c r="AM78" s="2248"/>
      <c r="AN78" s="2248"/>
      <c r="AO78" s="2248"/>
      <c r="AP78" s="2248"/>
      <c r="AQ78" s="2248"/>
      <c r="AR78" s="2248"/>
      <c r="AS78" s="2248"/>
      <c r="AT78" s="2248"/>
      <c r="AU78" s="2248"/>
      <c r="AV78" s="2256"/>
      <c r="AW78" s="2294"/>
      <c r="AX78" s="2294" t="str">
        <f t="shared" si="1"/>
        <v>Добавить источник для дифференциации</v>
      </c>
      <c r="AY78" s="2294"/>
      <c r="AZ78" s="2294"/>
      <c r="BA78" s="2256">
        <v>0</v>
      </c>
    </row>
    <row r="79" spans="1:53" s="2513" customFormat="1" ht="0.75" customHeight="1">
      <c r="A79" s="2405"/>
      <c r="B79" s="2405"/>
      <c r="C79" s="2405"/>
      <c r="D79" s="2405"/>
      <c r="E79" s="3200"/>
      <c r="F79" s="3199" t="s">
        <v>104</v>
      </c>
      <c r="G79" s="2405"/>
      <c r="H79" s="2405"/>
      <c r="I79" s="2405"/>
      <c r="J79" s="2405"/>
      <c r="K79" s="2405"/>
      <c r="L79" s="2406"/>
      <c r="M79" s="2413"/>
      <c r="N79" s="2413"/>
      <c r="O79" s="2256"/>
      <c r="P79" s="2408"/>
      <c r="Q79" s="2409"/>
      <c r="R79" s="2408"/>
      <c r="S79" s="2414"/>
      <c r="T79" s="2415" t="s">
        <v>181</v>
      </c>
      <c r="U79" s="2249"/>
      <c r="V79" s="2249"/>
      <c r="W79" s="2249"/>
      <c r="X79" s="2249"/>
      <c r="Y79" s="2249"/>
      <c r="Z79" s="2249"/>
      <c r="AA79" s="2249"/>
      <c r="AB79" s="2249"/>
      <c r="AC79" s="2249"/>
      <c r="AD79" s="2249"/>
      <c r="AE79" s="2249"/>
      <c r="AF79" s="2249"/>
      <c r="AG79" s="2249"/>
      <c r="AH79" s="2249"/>
      <c r="AI79" s="2249"/>
      <c r="AJ79" s="2249"/>
      <c r="AK79" s="2249"/>
      <c r="AL79" s="2249"/>
      <c r="AM79" s="2249"/>
      <c r="AN79" s="2249"/>
      <c r="AO79" s="2249"/>
      <c r="AP79" s="2249"/>
      <c r="AQ79" s="2249"/>
      <c r="AR79" s="2249"/>
      <c r="AS79" s="2249"/>
      <c r="AT79" s="2249"/>
      <c r="AU79" s="2249"/>
      <c r="AV79" s="2256"/>
      <c r="AW79" s="2294"/>
      <c r="AX79" s="2294" t="str">
        <f t="shared" si="1"/>
        <v>Добавить централизованную систему для дифференциации</v>
      </c>
      <c r="AY79" s="2294"/>
      <c r="AZ79" s="2294"/>
      <c r="BA79" s="2256">
        <v>0</v>
      </c>
    </row>
    <row r="80" spans="1:53" s="2017" customFormat="1" ht="1" customHeight="1">
      <c r="A80" s="1260" t="s">
        <v>176</v>
      </c>
      <c r="B80" s="1260"/>
      <c r="C80" s="1260"/>
      <c r="D80" s="1260"/>
      <c r="E80" s="3199"/>
      <c r="F80" s="1260"/>
      <c r="G80" s="1260"/>
      <c r="H80" s="1260"/>
      <c r="I80" s="1260"/>
      <c r="J80" s="1260"/>
      <c r="K80" s="1260"/>
      <c r="L80" s="1263"/>
      <c r="M80" s="1238"/>
      <c r="N80" s="1238"/>
      <c r="O80" s="452"/>
      <c r="P80" s="314"/>
      <c r="Q80" s="1261"/>
      <c r="R80" s="314"/>
      <c r="S80" s="1239"/>
      <c r="T80" s="1242" t="s">
        <v>188</v>
      </c>
      <c r="U80" s="1241"/>
      <c r="V80" s="1241"/>
      <c r="W80" s="1241"/>
      <c r="X80" s="1241"/>
      <c r="Y80" s="1241"/>
      <c r="Z80" s="1241"/>
      <c r="AA80" s="1241"/>
      <c r="AB80" s="1241"/>
      <c r="AC80" s="1241"/>
      <c r="AD80" s="1241"/>
      <c r="AE80" s="1241"/>
      <c r="AF80" s="1241"/>
      <c r="AG80" s="1241"/>
      <c r="AH80" s="1241"/>
      <c r="AI80" s="1241"/>
      <c r="AJ80" s="1241"/>
      <c r="AK80" s="1241"/>
      <c r="AL80" s="2249"/>
      <c r="AM80" s="2249"/>
      <c r="AN80" s="2249"/>
      <c r="AO80" s="2249"/>
      <c r="AP80" s="2249"/>
      <c r="AQ80" s="2249"/>
      <c r="AR80" s="2249"/>
      <c r="AS80" s="2249"/>
      <c r="AT80" s="1241"/>
      <c r="AU80" s="1241"/>
      <c r="AW80" s="434"/>
      <c r="AX80" s="434" t="str">
        <f t="shared" si="1"/>
        <v>Добавить территорию для дифференциации</v>
      </c>
      <c r="AY80" s="434"/>
      <c r="AZ80" s="434"/>
      <c r="BA80" s="445">
        <v>1</v>
      </c>
    </row>
    <row r="81" spans="1:53" s="2017" customFormat="1" ht="1" customHeight="1">
      <c r="A81" s="1231"/>
      <c r="B81" s="1231"/>
      <c r="C81" s="1231"/>
      <c r="D81" s="1231"/>
      <c r="E81" s="1260"/>
      <c r="F81" s="1231"/>
      <c r="G81" s="1231"/>
      <c r="H81" s="1231"/>
      <c r="I81" s="1231"/>
      <c r="J81" s="1231"/>
      <c r="K81" s="1231"/>
      <c r="L81" s="1256"/>
      <c r="M81" s="1238"/>
      <c r="N81" s="1238"/>
      <c r="P81" s="1233"/>
      <c r="Q81" s="1234"/>
      <c r="R81" s="1233"/>
      <c r="S81" s="1239"/>
      <c r="T81" s="1242" t="s">
        <v>189</v>
      </c>
      <c r="U81" s="1241"/>
      <c r="V81" s="1241"/>
      <c r="W81" s="1241"/>
      <c r="X81" s="1241"/>
      <c r="Y81" s="1241"/>
      <c r="Z81" s="1241"/>
      <c r="AA81" s="1241"/>
      <c r="AB81" s="1241"/>
      <c r="AC81" s="1241"/>
      <c r="AD81" s="1241"/>
      <c r="AE81" s="1241"/>
      <c r="AF81" s="1241"/>
      <c r="AG81" s="1241"/>
      <c r="AH81" s="1241"/>
      <c r="AI81" s="1241"/>
      <c r="AJ81" s="1241"/>
      <c r="AK81" s="1241"/>
      <c r="AL81" s="2249"/>
      <c r="AM81" s="2249"/>
      <c r="AN81" s="2249"/>
      <c r="AO81" s="2249"/>
      <c r="AP81" s="2249"/>
      <c r="AQ81" s="2249"/>
      <c r="AR81" s="2249"/>
      <c r="AS81" s="2249"/>
      <c r="AT81" s="1241"/>
      <c r="AU81" s="1241"/>
      <c r="AW81" s="717"/>
      <c r="AX81" s="717" t="str">
        <f t="shared" si="1"/>
        <v>Добавить наименование тарифа</v>
      </c>
      <c r="AY81" s="717"/>
      <c r="AZ81" s="717"/>
      <c r="BA81" s="452">
        <v>1</v>
      </c>
    </row>
    <row r="82" spans="1:53" ht="11.5" customHeight="1">
      <c r="M82" s="1077"/>
      <c r="N82" s="1077"/>
      <c r="O82" s="471"/>
      <c r="P82" s="1072"/>
      <c r="Q82" s="1072"/>
      <c r="R82" s="1072"/>
      <c r="S82" s="1072"/>
      <c r="AL82" s="2219"/>
      <c r="AM82" s="2219"/>
      <c r="AN82" s="2219"/>
      <c r="AO82" s="2219"/>
      <c r="AP82" s="2219"/>
      <c r="AQ82" s="2219"/>
      <c r="AR82" s="2219"/>
      <c r="AS82" s="2219"/>
      <c r="AV82" s="1072"/>
      <c r="AW82" s="1072"/>
      <c r="AX82" s="1072"/>
      <c r="AY82" s="1072"/>
      <c r="AZ82" s="1072"/>
      <c r="BA82" s="1072">
        <v>11</v>
      </c>
    </row>
    <row r="83" spans="1:53" ht="28.5" customHeight="1">
      <c r="O83" s="471"/>
      <c r="S83" s="1170"/>
      <c r="T83" s="3219"/>
      <c r="U83" s="3219"/>
      <c r="V83" s="3219"/>
      <c r="W83" s="3219"/>
      <c r="X83" s="3219"/>
      <c r="Y83" s="3219"/>
      <c r="Z83" s="3219"/>
      <c r="AA83" s="3219"/>
      <c r="AB83" s="3219"/>
      <c r="AC83" s="3219"/>
      <c r="AD83" s="3219"/>
      <c r="AE83" s="3219"/>
      <c r="AF83" s="3219"/>
      <c r="AG83" s="3219"/>
      <c r="AH83" s="3219"/>
      <c r="AI83" s="3219"/>
      <c r="AJ83" s="3219"/>
      <c r="AK83" s="3219"/>
      <c r="AL83" s="3219"/>
      <c r="AM83" s="3219"/>
      <c r="AN83" s="3219"/>
      <c r="AO83" s="3219"/>
      <c r="AP83" s="3219"/>
      <c r="AQ83" s="3219"/>
      <c r="AR83" s="3219"/>
      <c r="AS83" s="3219"/>
      <c r="AT83" s="3219"/>
      <c r="AU83" s="3219"/>
      <c r="BA83" s="1072">
        <v>27</v>
      </c>
    </row>
    <row r="84" spans="1:53" ht="65.25" customHeight="1">
      <c r="O84" s="471"/>
      <c r="T84" s="3219"/>
      <c r="U84" s="3219"/>
      <c r="V84" s="3219"/>
      <c r="W84" s="3219"/>
      <c r="X84" s="3219"/>
      <c r="Y84" s="3219"/>
      <c r="Z84" s="3219"/>
      <c r="AA84" s="3219"/>
      <c r="AB84" s="3219"/>
      <c r="AC84" s="3219"/>
      <c r="AD84" s="3219"/>
      <c r="AE84" s="3219"/>
      <c r="AF84" s="3219"/>
      <c r="AG84" s="3219"/>
      <c r="AH84" s="3219"/>
      <c r="AI84" s="3219"/>
      <c r="AJ84" s="3219"/>
      <c r="AK84" s="3219"/>
      <c r="AL84" s="3219"/>
      <c r="AM84" s="3219"/>
      <c r="AN84" s="3219"/>
      <c r="AO84" s="3219"/>
      <c r="AP84" s="3219"/>
      <c r="AQ84" s="3219"/>
      <c r="AR84" s="3219"/>
      <c r="AS84" s="3219"/>
      <c r="AT84" s="3219"/>
      <c r="AU84" s="3219"/>
      <c r="BA84" s="1072">
        <v>62</v>
      </c>
    </row>
    <row r="85" spans="1:53" ht="14.65" customHeight="1">
      <c r="O85" s="471"/>
      <c r="AL85" s="2219"/>
      <c r="AM85" s="2219"/>
      <c r="AN85" s="2219"/>
      <c r="AO85" s="2219"/>
      <c r="AP85" s="2219"/>
      <c r="AQ85" s="2219"/>
      <c r="AR85" s="2219"/>
      <c r="AS85" s="2219"/>
      <c r="BA85" s="1072">
        <v>14</v>
      </c>
    </row>
    <row r="86" spans="1:53" ht="18.75" customHeight="1">
      <c r="O86" s="471"/>
      <c r="S86" s="1170"/>
      <c r="T86" s="3219"/>
      <c r="U86" s="3219"/>
      <c r="V86" s="3219"/>
      <c r="W86" s="3219"/>
      <c r="X86" s="3219"/>
      <c r="Y86" s="3219"/>
      <c r="Z86" s="3219"/>
      <c r="AA86" s="3219"/>
      <c r="AB86" s="3219"/>
      <c r="AC86" s="3219"/>
      <c r="AD86" s="3219"/>
      <c r="AE86" s="3219"/>
      <c r="AF86" s="3219"/>
      <c r="AG86" s="3219"/>
      <c r="AH86" s="3219"/>
      <c r="AI86" s="3219"/>
      <c r="AJ86" s="3219"/>
      <c r="AK86" s="3219"/>
      <c r="AL86" s="3219"/>
      <c r="AM86" s="3219"/>
      <c r="AN86" s="3219"/>
      <c r="AO86" s="3219"/>
      <c r="AP86" s="3219"/>
      <c r="AQ86" s="3219"/>
      <c r="AR86" s="3219"/>
      <c r="AS86" s="3219"/>
      <c r="AT86" s="3219"/>
      <c r="AU86" s="3219"/>
      <c r="BA86" s="1072">
        <v>18</v>
      </c>
    </row>
    <row r="87" spans="1:53" ht="18.75" customHeight="1">
      <c r="O87" s="471"/>
      <c r="T87" s="3219"/>
      <c r="U87" s="3219"/>
      <c r="V87" s="3219"/>
      <c r="W87" s="3219"/>
      <c r="X87" s="3219"/>
      <c r="Y87" s="3219"/>
      <c r="Z87" s="3219"/>
      <c r="AA87" s="3219"/>
      <c r="AB87" s="3219"/>
      <c r="AC87" s="3219"/>
      <c r="AD87" s="3219"/>
      <c r="AE87" s="3219"/>
      <c r="AF87" s="3219"/>
      <c r="AG87" s="3219"/>
      <c r="AH87" s="3219"/>
      <c r="AI87" s="3219"/>
      <c r="AJ87" s="3219"/>
      <c r="AK87" s="3219"/>
      <c r="AL87" s="3219"/>
      <c r="AM87" s="3219"/>
      <c r="AN87" s="3219"/>
      <c r="AO87" s="3219"/>
      <c r="AP87" s="3219"/>
      <c r="AQ87" s="3219"/>
      <c r="AR87" s="3219"/>
      <c r="AS87" s="3219"/>
      <c r="AT87" s="3219"/>
      <c r="AU87" s="3219"/>
      <c r="BA87" s="1072">
        <v>18</v>
      </c>
    </row>
    <row r="88" spans="1:53" ht="29.25" customHeight="1">
      <c r="O88" s="471"/>
      <c r="S88" s="1170"/>
      <c r="T88" s="3219"/>
      <c r="U88" s="3219"/>
      <c r="V88" s="3219"/>
      <c r="W88" s="3219"/>
      <c r="X88" s="3219"/>
      <c r="Y88" s="3219"/>
      <c r="Z88" s="3219"/>
      <c r="AA88" s="3219"/>
      <c r="AB88" s="3219"/>
      <c r="AC88" s="3219"/>
      <c r="AD88" s="3219"/>
      <c r="AE88" s="3219"/>
      <c r="AF88" s="3219"/>
      <c r="AG88" s="3219"/>
      <c r="AH88" s="3219"/>
      <c r="AI88" s="3219"/>
      <c r="AJ88" s="3219"/>
      <c r="AK88" s="3219"/>
      <c r="AL88" s="3219"/>
      <c r="AM88" s="3219"/>
      <c r="AN88" s="3219"/>
      <c r="AO88" s="3219"/>
      <c r="AP88" s="3219"/>
      <c r="AQ88" s="3219"/>
      <c r="AR88" s="3219"/>
      <c r="AS88" s="3219"/>
      <c r="AT88" s="3219"/>
      <c r="AU88" s="3219"/>
      <c r="BA88" s="1072">
        <v>28</v>
      </c>
    </row>
    <row r="89" spans="1:53" ht="22.5" hidden="1" customHeight="1">
      <c r="A89" s="1077" t="s">
        <v>83</v>
      </c>
      <c r="B89" s="1077">
        <v>0</v>
      </c>
      <c r="C89" s="1077">
        <v>0</v>
      </c>
      <c r="D89" s="1077">
        <v>0</v>
      </c>
      <c r="E89" s="1077">
        <v>0</v>
      </c>
      <c r="F89" s="1077">
        <v>0</v>
      </c>
      <c r="G89" s="1077">
        <v>0</v>
      </c>
      <c r="H89" s="1077">
        <v>0</v>
      </c>
      <c r="I89" s="1077">
        <v>0</v>
      </c>
      <c r="J89" s="1077">
        <v>0</v>
      </c>
      <c r="K89" s="1077">
        <v>0</v>
      </c>
      <c r="L89" s="1246">
        <v>0</v>
      </c>
      <c r="M89" s="1279">
        <v>0</v>
      </c>
      <c r="N89" s="1279">
        <v>0</v>
      </c>
      <c r="O89" s="1279">
        <v>0</v>
      </c>
      <c r="P89" s="1245">
        <v>3</v>
      </c>
      <c r="Q89" s="279">
        <v>3</v>
      </c>
      <c r="R89" s="279">
        <v>3</v>
      </c>
      <c r="S89" s="515">
        <v>12</v>
      </c>
      <c r="T89" s="1072">
        <v>31</v>
      </c>
      <c r="U89" s="1072">
        <v>0</v>
      </c>
      <c r="V89" s="1072">
        <v>0</v>
      </c>
      <c r="W89" s="1072">
        <v>0</v>
      </c>
      <c r="X89" s="1072">
        <v>0</v>
      </c>
      <c r="Y89" s="1072">
        <v>0</v>
      </c>
      <c r="Z89" s="1072">
        <v>0</v>
      </c>
      <c r="AA89" s="1072">
        <v>0</v>
      </c>
      <c r="AB89" s="1072">
        <v>0</v>
      </c>
      <c r="AC89" s="1072">
        <v>0</v>
      </c>
      <c r="AD89" s="1072">
        <v>24</v>
      </c>
      <c r="AE89" s="1072">
        <v>0</v>
      </c>
      <c r="AF89" s="1072">
        <v>24</v>
      </c>
      <c r="AG89" s="1072">
        <v>24</v>
      </c>
      <c r="AH89" s="1072">
        <v>11</v>
      </c>
      <c r="AI89" s="1072">
        <v>3</v>
      </c>
      <c r="AJ89" s="1072">
        <v>11</v>
      </c>
      <c r="AK89" s="1072">
        <v>0</v>
      </c>
      <c r="AL89" s="2219">
        <v>0</v>
      </c>
      <c r="AM89" s="2219">
        <v>0</v>
      </c>
      <c r="AN89" s="2219">
        <v>0</v>
      </c>
      <c r="AO89" s="2219">
        <v>0</v>
      </c>
      <c r="AP89" s="2219">
        <v>0</v>
      </c>
      <c r="AQ89" s="2219">
        <v>0</v>
      </c>
      <c r="AR89" s="2219">
        <v>0</v>
      </c>
      <c r="AS89" s="2219">
        <v>0</v>
      </c>
      <c r="AT89" s="1072">
        <v>4</v>
      </c>
      <c r="AU89" s="1072">
        <v>115</v>
      </c>
      <c r="AV89" s="445">
        <v>10</v>
      </c>
      <c r="AW89" s="445">
        <v>10</v>
      </c>
      <c r="AX89" s="445">
        <v>10</v>
      </c>
      <c r="AY89" s="445">
        <v>10</v>
      </c>
      <c r="AZ89" s="445">
        <v>10</v>
      </c>
      <c r="BA89" s="1072">
        <v>23</v>
      </c>
    </row>
  </sheetData>
  <sheetProtection formatColumns="0" formatRows="0" insertRows="0" deleteColumns="0" deleteRows="0" sort="0" autoFilter="0"/>
  <mergeCells count="197">
    <mergeCell ref="T87:AU87"/>
    <mergeCell ref="T88:AU88"/>
    <mergeCell ref="T86:AU86"/>
    <mergeCell ref="AU49:AU51"/>
    <mergeCell ref="T83:AU83"/>
    <mergeCell ref="T84:AU84"/>
    <mergeCell ref="J48:J51"/>
    <mergeCell ref="Q48:Q51"/>
    <mergeCell ref="V48:AC48"/>
    <mergeCell ref="AD48:AT48"/>
    <mergeCell ref="K49:K50"/>
    <mergeCell ref="Z49:Z50"/>
    <mergeCell ref="AA49:AA50"/>
    <mergeCell ref="AB49:AB50"/>
    <mergeCell ref="AC49:AC50"/>
    <mergeCell ref="AH49:AH50"/>
    <mergeCell ref="AI49:AI50"/>
    <mergeCell ref="AJ49:AJ50"/>
    <mergeCell ref="AK49:AK50"/>
    <mergeCell ref="AU61:AU63"/>
    <mergeCell ref="V57:AC57"/>
    <mergeCell ref="AD57:AT57"/>
    <mergeCell ref="V58:AC58"/>
    <mergeCell ref="AD58:AT58"/>
    <mergeCell ref="E43:E80"/>
    <mergeCell ref="V43:AC43"/>
    <mergeCell ref="AD43:AT43"/>
    <mergeCell ref="F44:F55"/>
    <mergeCell ref="V44:AC44"/>
    <mergeCell ref="AD44:AT44"/>
    <mergeCell ref="G45:G54"/>
    <mergeCell ref="V45:AC45"/>
    <mergeCell ref="AD45:AT45"/>
    <mergeCell ref="H46:H53"/>
    <mergeCell ref="V46:AC46"/>
    <mergeCell ref="AD46:AT46"/>
    <mergeCell ref="I47:I52"/>
    <mergeCell ref="P47:P52"/>
    <mergeCell ref="V47:AC47"/>
    <mergeCell ref="AD47:AT47"/>
    <mergeCell ref="AH61:AH62"/>
    <mergeCell ref="AI61:AI62"/>
    <mergeCell ref="AJ61:AJ62"/>
    <mergeCell ref="AK61:AK62"/>
    <mergeCell ref="V60:AC60"/>
    <mergeCell ref="AD60:AT60"/>
    <mergeCell ref="V56:AC56"/>
    <mergeCell ref="AD56:AT56"/>
    <mergeCell ref="AH40:AJ40"/>
    <mergeCell ref="AA41:AB41"/>
    <mergeCell ref="AI41:AJ41"/>
    <mergeCell ref="AA42:AB42"/>
    <mergeCell ref="AI42:AJ42"/>
    <mergeCell ref="S38:AT38"/>
    <mergeCell ref="AU38:AU41"/>
    <mergeCell ref="S39:S41"/>
    <mergeCell ref="T39:T41"/>
    <mergeCell ref="V39:AB39"/>
    <mergeCell ref="AC39:AC41"/>
    <mergeCell ref="AD39:AJ39"/>
    <mergeCell ref="AK39:AK41"/>
    <mergeCell ref="AT39:AT41"/>
    <mergeCell ref="V40:V41"/>
    <mergeCell ref="W40:W41"/>
    <mergeCell ref="X40:Y40"/>
    <mergeCell ref="Z40:AB40"/>
    <mergeCell ref="AD40:AD41"/>
    <mergeCell ref="AE40:AE41"/>
    <mergeCell ref="AF40:AG40"/>
    <mergeCell ref="AQ42:AR42"/>
    <mergeCell ref="S32:T32"/>
    <mergeCell ref="V32:AB32"/>
    <mergeCell ref="AD32:AJ32"/>
    <mergeCell ref="V37:AC37"/>
    <mergeCell ref="AD37:AK37"/>
    <mergeCell ref="S34:T34"/>
    <mergeCell ref="V34:AB34"/>
    <mergeCell ref="AD34:AJ34"/>
    <mergeCell ref="S35:T35"/>
    <mergeCell ref="V35:AB35"/>
    <mergeCell ref="AD35:AJ35"/>
    <mergeCell ref="AU8:AU10"/>
    <mergeCell ref="AH17:AH18"/>
    <mergeCell ref="AI17:AI18"/>
    <mergeCell ref="AJ17:AJ18"/>
    <mergeCell ref="AK17:AK18"/>
    <mergeCell ref="AH8:AH9"/>
    <mergeCell ref="AI8:AI9"/>
    <mergeCell ref="AJ8:AJ9"/>
    <mergeCell ref="AK8:AK9"/>
    <mergeCell ref="AP8:AP9"/>
    <mergeCell ref="AQ8:AQ9"/>
    <mergeCell ref="AR8:AR9"/>
    <mergeCell ref="AS8:AS9"/>
    <mergeCell ref="V7:AC7"/>
    <mergeCell ref="AD7:AT7"/>
    <mergeCell ref="V2:AC2"/>
    <mergeCell ref="AD2:AT2"/>
    <mergeCell ref="V3:AC3"/>
    <mergeCell ref="AD3:AT3"/>
    <mergeCell ref="V4:AC4"/>
    <mergeCell ref="AD4:AT4"/>
    <mergeCell ref="V5:AC5"/>
    <mergeCell ref="AD5:AT5"/>
    <mergeCell ref="V6:AC6"/>
    <mergeCell ref="AD6:AT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 ref="V59:AC59"/>
    <mergeCell ref="AD59:AT59"/>
    <mergeCell ref="F56:F67"/>
    <mergeCell ref="G57:G66"/>
    <mergeCell ref="H58:H65"/>
    <mergeCell ref="I59:I64"/>
    <mergeCell ref="P59:P64"/>
    <mergeCell ref="J60:J63"/>
    <mergeCell ref="Q60:Q63"/>
    <mergeCell ref="K61:K62"/>
    <mergeCell ref="Z61:Z62"/>
    <mergeCell ref="AA61:AA62"/>
    <mergeCell ref="AB61:AB62"/>
    <mergeCell ref="AC61:AC62"/>
    <mergeCell ref="AU73:AU75"/>
    <mergeCell ref="AH73:AH74"/>
    <mergeCell ref="AI73:AI74"/>
    <mergeCell ref="AJ73:AJ74"/>
    <mergeCell ref="AK73:AK74"/>
    <mergeCell ref="V72:AC72"/>
    <mergeCell ref="AD72:AT72"/>
    <mergeCell ref="V68:AC68"/>
    <mergeCell ref="AD68:AT68"/>
    <mergeCell ref="V69:AC69"/>
    <mergeCell ref="AD69:AT69"/>
    <mergeCell ref="V70:AC70"/>
    <mergeCell ref="AD70:AT70"/>
    <mergeCell ref="V71:AC71"/>
    <mergeCell ref="AD71:AT71"/>
    <mergeCell ref="AA73:AA74"/>
    <mergeCell ref="AB73:AB74"/>
    <mergeCell ref="AC73:AC74"/>
    <mergeCell ref="F68:F79"/>
    <mergeCell ref="G69:G78"/>
    <mergeCell ref="H70:H77"/>
    <mergeCell ref="I71:I76"/>
    <mergeCell ref="P71:P76"/>
    <mergeCell ref="J72:J75"/>
    <mergeCell ref="Q72:Q75"/>
    <mergeCell ref="K73:K74"/>
    <mergeCell ref="Z73:Z74"/>
    <mergeCell ref="AL29:AR29"/>
    <mergeCell ref="AL30:AR30"/>
    <mergeCell ref="AL31:AR31"/>
    <mergeCell ref="AL32:AR32"/>
    <mergeCell ref="AL34:AR34"/>
    <mergeCell ref="AL35:AR35"/>
    <mergeCell ref="AL37:AS37"/>
    <mergeCell ref="AL39:AR39"/>
    <mergeCell ref="AS39:AS41"/>
    <mergeCell ref="AL40:AL41"/>
    <mergeCell ref="AM40:AM41"/>
    <mergeCell ref="AN40:AO40"/>
    <mergeCell ref="AP40:AR40"/>
    <mergeCell ref="AQ41:AR41"/>
    <mergeCell ref="AP49:AP50"/>
    <mergeCell ref="AQ49:AQ50"/>
    <mergeCell ref="AR49:AR50"/>
    <mergeCell ref="AS49:AS50"/>
    <mergeCell ref="AP61:AP62"/>
    <mergeCell ref="AQ61:AQ62"/>
    <mergeCell ref="AR61:AR62"/>
    <mergeCell ref="AS61:AS62"/>
    <mergeCell ref="AP73:AP74"/>
    <mergeCell ref="AQ73:AQ74"/>
    <mergeCell ref="AR73:AR74"/>
    <mergeCell ref="AS73:AS74"/>
  </mergeCells>
  <dataValidations count="8">
    <dataValidation allowBlank="1" promptTitle="checkPeriodRange" sqref="Y65610 Y131146 Y196682 Y262218 Y327754 Y393290 Y458826 Y524362 Y589898 Y655434 Y720970 Y786506 Y852042 Y917578 Y983114 Y9 AG65610 AG131146 AG196682 AG262218 AG327754 AG393290 AG458826 AG524362 AG589898 AG655434 AG720970 AG786506 AG852042 AG917578 AG983114 AG9 AG50 AG18 Y50 Y62 AG62 Y74 AG74 AO9 AO50 AO62 AO74" xr:uid="{00000000-0002-0000-0B00-000000000000}"/>
    <dataValidation allowBlank="1" showInputMessage="1" showErrorMessage="1" prompt="Для выбора выполните двойной щелчок левой клавиши мыши по соответствующей ячейке." sqref="AA65609 AA131145 AA196681 AA262217 AA327753 AA393289 AA458825 AA524361 AA589897 AA655433 AA720969 AA786505 AA852041 AA917577 AA983113 AC131145 AC458825 AC196681 AC262217 AC327753 AC393289 AC524361 AC589897 AC655433 AC720969 AC786505 AC852041 AC917577 AC983113 AC65609 AI65609 AI131145 AI196681 AI262217 AI327753 AI393289 AI458825 AI524361 AI589897 AI655433 AI720969 AI786505 AI852041 AI917577 AI983113 AK327753:AS327753 AK393289:AS393289 AK49 AQ49 AS49 AK524361:AS524361 AK8 AQ8 AS8 AK589897:AS589897 AK655433:AS655433 AK17 AK720969:AS720969 AK786505:AS786505 AK852041:AS852041 AK917577:AS917577 AK983113:AS983113 AK65609:AS65609 AK131145:AS131145 AI49 AK458825:AS458825 AI8 AC8 AA8 AI17 AK196681:AS196681 AA49 AC49 AK262217:AS262217 AA61 AC61 AI61 AK61 AQ61 AS61 AA73 AC73 AI73 AK73 AQ73 AS73" xr:uid="{00000000-0002-0000-0B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609 Z131145 Z196681 Z262217 Z327753 Z393289 Z458825 Z524361 Z589897 Z655433 Z720969 Z786505 Z852041 Z917577 Z983113 AB65609 AB131145 AB196681 AB262217 AB327753 AB393289 AB458825 AB524361 AB589897 AB655433 AB720969 AB786505 AB852041 AB917577 AB983113 Z8 AH65609 AH131145 AH196681 AH262217 AH327753 AH393289 AH458825 AH524361 AH589897 AH655433 AH720969 AH786505 AH852041 AH917577 AH983113 AJ65609 AJ131145 AJ196681 AJ262217 AJ327753 AJ393289 AJ458825 AJ524361 AJ589897 AJ655433 AJ720969 AJ786505 AJ852041 AJ917577 AJ983113 AJ49 AH49 AH8 AJ8 AB8 AH17 AJ17 Z49 AB49 Z61 AB61 AH61 AJ61 Z73 AB73 AH73 AJ73 AP8 AR8 AP49 AR49 AP61 AR61 AP73 AR73" xr:uid="{00000000-0002-0000-0B00-000002000000}"/>
    <dataValidation type="list" allowBlank="1" showInputMessage="1" showErrorMessage="1" errorTitle="Ошибка" error="Выберите значение из списка" sqref="T65609 T131145 T196681 T262217 T327753 T393289 T458825 T524361 T589897 T655433 T720969 T786505 T852041 T917577 T983113" xr:uid="{00000000-0002-0000-0B00-000003000000}">
      <formula1>kind_of_heat_transfer</formula1>
    </dataValidation>
    <dataValidation type="textLength" operator="lessThanOrEqual" allowBlank="1" showInputMessage="1" showErrorMessage="1" errorTitle="Ошибка" error="Допускается ввод не более 900 символов!" sqref="AU65603:AU65610 AU131139:AU131146 AU196675:AU196682 AU262211:AU262218 AU327747:AU327754 AU393283:AU393290 AU458819:AU458826 AU524355:AU524362 AU589891:AU589898 AU655427:AU655434 AU720963:AU720970 AU786499:AU786506 AU852035:AU852042 AU917571:AU917578 AU983107:AU983114" xr:uid="{00000000-0002-0000-0B00-000004000000}">
      <formula1>900</formula1>
    </dataValidation>
    <dataValidation type="list" allowBlank="1" showInputMessage="1" showErrorMessage="1" errorTitle="Ошибка" error="Выберите значение из списка" sqref="V983111:W983111 V65607:W65607 V131143:W131143 V196679:W196679 V262215:W262215 V327751:W327751 V393287:W393287 V458823:W458823 V524359:W524359 V589895:W589895 V655431:W655431 V720967:W720967 V786503:W786503 V852039:W852039 V917575:W917575 AD983111:AE983111 AD65607:AE65607 AD131143:AE131143 AD196679:AE196679 AD262215:AE262215 AD327751:AE327751 AD393287:AE393287 AD458823:AE458823 AD524359:AE524359 AD589895:AE589895 AD655431:AE655431 AD720967:AE720967 AD786503:AE786503 AD852039:AE852039 AD917575:AE917575" xr:uid="{00000000-0002-0000-0B00-000005000000}">
      <formula1>kind_of_scheme_in</formula1>
    </dataValidation>
    <dataValidation allowBlank="1" sqref="S131147:AU131153 S196683:AU196689 S262219:AU262225 S327755:AU327761 S393291:AU393297 S458827:AU458833 S524363:AU524369 S589899:AU589905 S655435:AU655441 S720971:AU720977 S786507:AU786513 S852043:AU852049 S917579:AU917585 S983115:AU983121 S65611:AU65617" xr:uid="{00000000-0002-0000-0B00-000006000000}"/>
    <dataValidation type="list" allowBlank="1" showInputMessage="1" errorTitle="Ошибка" error="Выберите значение из списка" prompt="Выберите значение из списка" sqref="V983112:AT983112 V65608:AT65608 V131144:AT131144 V196680:AT196680 V262216:AT262216 V327752:AT327752 V393288:AT393288 V458824:AT458824 V524360:AT524360 V589896:AT589896 V655432:AT655432 V720968:AT720968 V786504:AT786504 V852040:AT852040 V917576:AT917576" xr:uid="{00000000-0002-0000-0B00-000007000000}">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410A2A-FDF3-1112-6D73-DE8620D8AA12}">
  <sheetPr>
    <tabColor theme="6" tint="0.39997558519241921"/>
  </sheetPr>
  <dimension ref="A1:AS65"/>
  <sheetViews>
    <sheetView showGridLines="0" topLeftCell="P25" zoomScale="90" workbookViewId="0"/>
  </sheetViews>
  <sheetFormatPr defaultColWidth="10.59765625" defaultRowHeight="14.25" customHeight="1"/>
  <cols>
    <col min="1" max="1" width="10.59765625" style="2004" hidden="1"/>
    <col min="2" max="2" width="11" style="2004" hidden="1" customWidth="1"/>
    <col min="3" max="3" width="10.59765625" style="2004" hidden="1"/>
    <col min="4" max="4" width="11.796875" style="2004" hidden="1" customWidth="1"/>
    <col min="5" max="5" width="10" style="2004" hidden="1" customWidth="1"/>
    <col min="6" max="6" width="8.69921875" style="2004" hidden="1" customWidth="1"/>
    <col min="7" max="7" width="7.59765625" style="2004" hidden="1" customWidth="1"/>
    <col min="8" max="8" width="11.3984375" style="2004" hidden="1" customWidth="1"/>
    <col min="9" max="9" width="12" style="2004" hidden="1" customWidth="1"/>
    <col min="10" max="10" width="9.796875" style="2004" hidden="1" customWidth="1"/>
    <col min="11" max="11" width="11.3984375" style="2004" hidden="1" customWidth="1"/>
    <col min="12" max="12" width="19.09765625" style="2015" hidden="1" customWidth="1"/>
    <col min="13" max="14" width="12.296875" style="2217" hidden="1" customWidth="1"/>
    <col min="15" max="15" width="23.3984375" style="2217" hidden="1" customWidth="1"/>
    <col min="16" max="16" width="3" style="2217" customWidth="1"/>
    <col min="17" max="18" width="3" style="2215" customWidth="1"/>
    <col min="19" max="19" width="12" style="2218" customWidth="1"/>
    <col min="20" max="20" width="31" style="2004" customWidth="1"/>
    <col min="21" max="21" width="9.765625E-2" style="2004" customWidth="1"/>
    <col min="22" max="22" width="24.69921875" style="2004" hidden="1" customWidth="1"/>
    <col min="23" max="23" width="9.765625E-2" style="2004" hidden="1" customWidth="1"/>
    <col min="24" max="25" width="24.69921875" style="2004" hidden="1" customWidth="1"/>
    <col min="26" max="26" width="11.69921875" style="2004" hidden="1" customWidth="1"/>
    <col min="27" max="27" width="3.69921875" style="2004" hidden="1" customWidth="1"/>
    <col min="28" max="28" width="11.69921875" style="2004" hidden="1" customWidth="1"/>
    <col min="29" max="29" width="8.59765625" style="2004" hidden="1" customWidth="1"/>
    <col min="30" max="30" width="24.69921875" style="2004" customWidth="1"/>
    <col min="31" max="31" width="9.765625E-2" style="2004" customWidth="1"/>
    <col min="32" max="33" width="24" style="2004" customWidth="1"/>
    <col min="34" max="34" width="11" style="2004" customWidth="1"/>
    <col min="35" max="35" width="3.69921875" style="2004" customWidth="1"/>
    <col min="36" max="36" width="11" style="2004" customWidth="1"/>
    <col min="37" max="37" width="8.59765625" style="2004" hidden="1" customWidth="1"/>
    <col min="38" max="38" width="4" style="2004" customWidth="1"/>
    <col min="39" max="39" width="115" style="2004" customWidth="1"/>
    <col min="40" max="44" width="10" style="2017" customWidth="1"/>
    <col min="45" max="45" width="10.59765625" style="2004" hidden="1"/>
  </cols>
  <sheetData>
    <row r="1" spans="1:45" ht="22.5" hidden="1" customHeight="1">
      <c r="AS1" s="1548" t="s">
        <v>14</v>
      </c>
    </row>
    <row r="2" spans="1:45" ht="21" hidden="1" customHeight="1">
      <c r="A2" s="1184"/>
      <c r="B2" s="1184"/>
      <c r="C2" s="1184"/>
      <c r="D2" s="1184"/>
      <c r="E2" s="3223">
        <v>1</v>
      </c>
      <c r="F2" s="1184"/>
      <c r="G2" s="1184"/>
      <c r="H2" s="1184"/>
      <c r="I2" s="1184"/>
      <c r="J2" s="1184"/>
      <c r="K2" s="1184"/>
      <c r="L2" s="1227"/>
      <c r="M2" s="1527"/>
      <c r="N2" s="1527"/>
      <c r="O2" s="1527"/>
      <c r="P2" s="1507"/>
      <c r="Q2" s="294"/>
      <c r="R2" s="289"/>
      <c r="S2" s="1869" t="e">
        <f>INDEX(PT_DIFFERENTIATION_NUM_NTAR,MATCH(A2,PT_DIFFERENTIATION_NTAR_ID,0))</f>
        <v>#N/A</v>
      </c>
      <c r="T2" s="1442" t="s">
        <v>137</v>
      </c>
      <c r="U2" s="235"/>
      <c r="V2" s="3185"/>
      <c r="W2" s="3186"/>
      <c r="X2" s="3186"/>
      <c r="Y2" s="3186"/>
      <c r="Z2" s="3186"/>
      <c r="AA2" s="3186"/>
      <c r="AB2" s="3186"/>
      <c r="AC2" s="3187"/>
      <c r="AD2" s="3185" t="e">
        <f>INDEX(PT_DIFFERENTIATION_NTAR,MATCH(A2,PT_DIFFERENTIATION_NTAR_ID,0))</f>
        <v>#N/A</v>
      </c>
      <c r="AE2" s="3186"/>
      <c r="AF2" s="3186"/>
      <c r="AG2" s="3186"/>
      <c r="AH2" s="3186"/>
      <c r="AI2" s="3186"/>
      <c r="AJ2" s="3186"/>
      <c r="AK2" s="3186"/>
      <c r="AL2" s="3187"/>
      <c r="AM2" s="1175" t="s">
        <v>431</v>
      </c>
      <c r="AO2" s="1541"/>
      <c r="AP2" s="1541" t="str">
        <f t="shared" ref="AP2:AP15" si="0">IF(T2="","",T2)</f>
        <v>Наименование тарифа</v>
      </c>
      <c r="AQ2" s="1541"/>
      <c r="AR2" s="1541"/>
      <c r="AS2" s="1548">
        <v>0</v>
      </c>
    </row>
    <row r="3" spans="1:45" ht="21" hidden="1" customHeight="1">
      <c r="A3" s="1184"/>
      <c r="B3" s="1184"/>
      <c r="C3" s="1184"/>
      <c r="D3" s="1184"/>
      <c r="E3" s="3224"/>
      <c r="F3" s="3223">
        <v>1</v>
      </c>
      <c r="G3" s="1184"/>
      <c r="H3" s="1184"/>
      <c r="I3" s="1184"/>
      <c r="J3" s="1184"/>
      <c r="K3" s="1184"/>
      <c r="L3" s="1227"/>
      <c r="M3" s="1527"/>
      <c r="N3" s="1527"/>
      <c r="O3" s="1527"/>
      <c r="P3" s="1851"/>
      <c r="Q3" s="286"/>
      <c r="R3" s="287"/>
      <c r="S3" s="1869" t="e">
        <f>INDEX(PT_DIFFERENTIATION_NUM_TER,MATCH(B3,PT_DIFFERENTIATION_TER_ID,0))</f>
        <v>#N/A</v>
      </c>
      <c r="T3" s="1439" t="s">
        <v>432</v>
      </c>
      <c r="U3" s="235"/>
      <c r="V3" s="3185"/>
      <c r="W3" s="3186"/>
      <c r="X3" s="3186"/>
      <c r="Y3" s="3186"/>
      <c r="Z3" s="3186"/>
      <c r="AA3" s="3186"/>
      <c r="AB3" s="3186"/>
      <c r="AC3" s="3187"/>
      <c r="AD3" s="3185" t="e">
        <f>INDEX(PT_DIFFERENTIATION_TER,MATCH(B3,PT_DIFFERENTIATION_TER_ID,0))</f>
        <v>#N/A</v>
      </c>
      <c r="AE3" s="3186"/>
      <c r="AF3" s="3186"/>
      <c r="AG3" s="3186"/>
      <c r="AH3" s="3186"/>
      <c r="AI3" s="3186"/>
      <c r="AJ3" s="3186"/>
      <c r="AK3" s="3186"/>
      <c r="AL3" s="3187"/>
      <c r="AM3" s="1175" t="s">
        <v>433</v>
      </c>
      <c r="AO3" s="1541"/>
      <c r="AP3" s="1541" t="str">
        <f t="shared" si="0"/>
        <v>Территория действия тарифа</v>
      </c>
      <c r="AQ3" s="1541"/>
      <c r="AR3" s="1541"/>
      <c r="AS3" s="1548">
        <v>0</v>
      </c>
    </row>
    <row r="4" spans="1:45" ht="23.25" hidden="1" customHeight="1">
      <c r="A4" s="1184"/>
      <c r="B4" s="1184"/>
      <c r="C4" s="1184"/>
      <c r="D4" s="1184"/>
      <c r="E4" s="3224"/>
      <c r="F4" s="3224"/>
      <c r="G4" s="3223">
        <v>1</v>
      </c>
      <c r="H4" s="1184"/>
      <c r="I4" s="1184"/>
      <c r="J4" s="1184"/>
      <c r="K4" s="1184"/>
      <c r="L4" s="1227"/>
      <c r="M4" s="1527"/>
      <c r="N4" s="1527"/>
      <c r="O4" s="1527"/>
      <c r="P4" s="288"/>
      <c r="Q4" s="286"/>
      <c r="R4" s="287"/>
      <c r="S4" s="1869" t="e">
        <f>INDEX(PT_DIFFERENTIATION_NUM_CS,MATCH(C4,PT_DIFFERENTIATION_CS_ID,0))</f>
        <v>#N/A</v>
      </c>
      <c r="T4" s="244" t="s">
        <v>434</v>
      </c>
      <c r="U4" s="235"/>
      <c r="V4" s="3185"/>
      <c r="W4" s="3186"/>
      <c r="X4" s="3186"/>
      <c r="Y4" s="3186"/>
      <c r="Z4" s="3186"/>
      <c r="AA4" s="3186"/>
      <c r="AB4" s="3186"/>
      <c r="AC4" s="3187"/>
      <c r="AD4" s="3185" t="e">
        <f>INDEX(PT_DIFFERENTIATION_CS,MATCH(C4,PT_DIFFERENTIATION_CS_ID,0))</f>
        <v>#N/A</v>
      </c>
      <c r="AE4" s="3186"/>
      <c r="AF4" s="3186"/>
      <c r="AG4" s="3186"/>
      <c r="AH4" s="3186"/>
      <c r="AI4" s="3186"/>
      <c r="AJ4" s="3186"/>
      <c r="AK4" s="3186"/>
      <c r="AL4" s="3187"/>
      <c r="AM4" s="1175" t="s">
        <v>435</v>
      </c>
      <c r="AO4" s="1541"/>
      <c r="AP4" s="1541" t="str">
        <f t="shared" si="0"/>
        <v xml:space="preserve">Наименование системы теплоснабжения </v>
      </c>
      <c r="AQ4" s="1541"/>
      <c r="AR4" s="1541"/>
      <c r="AS4" s="1548">
        <v>0</v>
      </c>
    </row>
    <row r="5" spans="1:45" ht="21" hidden="1" customHeight="1">
      <c r="A5" s="1184"/>
      <c r="B5" s="1184"/>
      <c r="C5" s="1184"/>
      <c r="D5" s="1184"/>
      <c r="E5" s="3224"/>
      <c r="F5" s="3224"/>
      <c r="G5" s="3224"/>
      <c r="H5" s="3223">
        <v>1</v>
      </c>
      <c r="I5" s="1184"/>
      <c r="J5" s="1184"/>
      <c r="K5" s="1184"/>
      <c r="L5" s="1227"/>
      <c r="M5" s="1527"/>
      <c r="N5" s="1527"/>
      <c r="O5" s="1527"/>
      <c r="P5" s="288"/>
      <c r="Q5" s="286"/>
      <c r="R5" s="287"/>
      <c r="S5" s="1869" t="e">
        <f>INDEX(PT_DIFFERENTIATION_NUM_IST_TE,MATCH(D5,PT_DIFFERENTIATION_IST_TE_ID,0))</f>
        <v>#N/A</v>
      </c>
      <c r="T5" s="245" t="s">
        <v>436</v>
      </c>
      <c r="U5" s="235"/>
      <c r="V5" s="3185"/>
      <c r="W5" s="3186"/>
      <c r="X5" s="3186"/>
      <c r="Y5" s="3186"/>
      <c r="Z5" s="3186"/>
      <c r="AA5" s="3186"/>
      <c r="AB5" s="3186"/>
      <c r="AC5" s="3187"/>
      <c r="AD5" s="3185" t="e">
        <f>INDEX(PT_DIFFERENTIATION_IST_TE,MATCH(D5,PT_DIFFERENTIATION_IST_TE_ID,0))</f>
        <v>#N/A</v>
      </c>
      <c r="AE5" s="3186"/>
      <c r="AF5" s="3186"/>
      <c r="AG5" s="3186"/>
      <c r="AH5" s="3186"/>
      <c r="AI5" s="3186"/>
      <c r="AJ5" s="3186"/>
      <c r="AK5" s="3186"/>
      <c r="AL5" s="3187"/>
      <c r="AM5" s="1175" t="s">
        <v>437</v>
      </c>
      <c r="AO5" s="1541"/>
      <c r="AP5" s="1541" t="str">
        <f t="shared" si="0"/>
        <v xml:space="preserve">Источник тепловой энергии  </v>
      </c>
      <c r="AQ5" s="1541"/>
      <c r="AR5" s="1541"/>
      <c r="AS5" s="1548">
        <v>0</v>
      </c>
    </row>
    <row r="6" spans="1:45" ht="47.25" hidden="1" customHeight="1">
      <c r="A6" s="1184"/>
      <c r="B6" s="1184"/>
      <c r="C6" s="1184"/>
      <c r="D6" s="1184"/>
      <c r="E6" s="3224"/>
      <c r="F6" s="3224"/>
      <c r="G6" s="3224"/>
      <c r="H6" s="3224"/>
      <c r="I6" s="3067" t="e">
        <f>S5&amp;".1"</f>
        <v>#N/A</v>
      </c>
      <c r="J6" s="1184"/>
      <c r="K6" s="1184"/>
      <c r="L6" s="1227" t="s">
        <v>438</v>
      </c>
      <c r="M6" s="1552"/>
      <c r="P6" s="3198">
        <v>1</v>
      </c>
      <c r="Q6" s="1865"/>
      <c r="R6" s="290"/>
      <c r="S6" s="1869" t="e">
        <f>$I6</f>
        <v>#N/A</v>
      </c>
      <c r="T6" s="220" t="s">
        <v>439</v>
      </c>
      <c r="U6" s="235"/>
      <c r="V6" s="3188"/>
      <c r="W6" s="3189"/>
      <c r="X6" s="3189"/>
      <c r="Y6" s="3189"/>
      <c r="Z6" s="3189"/>
      <c r="AA6" s="3189"/>
      <c r="AB6" s="3189"/>
      <c r="AC6" s="3190"/>
      <c r="AD6" s="3188"/>
      <c r="AE6" s="3189"/>
      <c r="AF6" s="3189"/>
      <c r="AG6" s="3189"/>
      <c r="AH6" s="3189"/>
      <c r="AI6" s="3189"/>
      <c r="AJ6" s="3189"/>
      <c r="AK6" s="3189"/>
      <c r="AL6" s="3190"/>
      <c r="AM6" s="1175" t="s">
        <v>440</v>
      </c>
      <c r="AO6" s="1541"/>
      <c r="AP6" s="1541" t="str">
        <f t="shared" si="0"/>
        <v>Схема подключения теплопотребляющей установки к коллектору источника тепловой энергии</v>
      </c>
      <c r="AQ6" s="1541"/>
      <c r="AR6" s="1541"/>
      <c r="AS6" s="1548">
        <v>0</v>
      </c>
    </row>
    <row r="7" spans="1:45" ht="21" hidden="1" customHeight="1">
      <c r="A7" s="1184"/>
      <c r="B7" s="1184"/>
      <c r="C7" s="1184"/>
      <c r="D7" s="1184"/>
      <c r="E7" s="3224"/>
      <c r="F7" s="3224"/>
      <c r="G7" s="3224"/>
      <c r="H7" s="3224"/>
      <c r="I7" s="3038"/>
      <c r="J7" s="3067" t="e">
        <f>I6&amp;".1"</f>
        <v>#N/A</v>
      </c>
      <c r="K7" s="1184"/>
      <c r="L7" s="1227" t="s">
        <v>441</v>
      </c>
      <c r="M7" s="1552"/>
      <c r="N7" s="1548"/>
      <c r="P7" s="3198"/>
      <c r="Q7" s="3198">
        <v>1</v>
      </c>
      <c r="R7" s="291"/>
      <c r="S7" s="1869" t="e">
        <f>$J7</f>
        <v>#N/A</v>
      </c>
      <c r="T7" s="221" t="s">
        <v>442</v>
      </c>
      <c r="U7" s="235"/>
      <c r="V7" s="3188"/>
      <c r="W7" s="3189"/>
      <c r="X7" s="3189"/>
      <c r="Y7" s="3189"/>
      <c r="Z7" s="3189"/>
      <c r="AA7" s="3189"/>
      <c r="AB7" s="3189"/>
      <c r="AC7" s="3190"/>
      <c r="AD7" s="3188"/>
      <c r="AE7" s="3189"/>
      <c r="AF7" s="3189"/>
      <c r="AG7" s="3189"/>
      <c r="AH7" s="3189"/>
      <c r="AI7" s="3189"/>
      <c r="AJ7" s="3189"/>
      <c r="AK7" s="3189"/>
      <c r="AL7" s="3190"/>
      <c r="AM7" s="1175" t="s">
        <v>443</v>
      </c>
      <c r="AO7" s="1541"/>
      <c r="AP7" s="1541" t="str">
        <f t="shared" si="0"/>
        <v>Группа потребителей</v>
      </c>
      <c r="AQ7" s="1541"/>
      <c r="AR7" s="1541"/>
      <c r="AS7" s="1548">
        <v>0</v>
      </c>
    </row>
    <row r="8" spans="1:45" ht="21" hidden="1" customHeight="1">
      <c r="A8" s="1184"/>
      <c r="B8" s="1184"/>
      <c r="C8" s="1184"/>
      <c r="D8" s="1184"/>
      <c r="E8" s="3224"/>
      <c r="F8" s="3224"/>
      <c r="G8" s="3224"/>
      <c r="H8" s="3224"/>
      <c r="I8" s="3038"/>
      <c r="J8" s="3038"/>
      <c r="K8" s="3067" t="e">
        <f>J7&amp;".1"</f>
        <v>#N/A</v>
      </c>
      <c r="L8" s="1227" t="s">
        <v>444</v>
      </c>
      <c r="M8" s="1552"/>
      <c r="N8" s="1548"/>
      <c r="O8" s="1548"/>
      <c r="P8" s="3198"/>
      <c r="Q8" s="3198"/>
      <c r="R8" s="291">
        <v>1</v>
      </c>
      <c r="S8" s="1869" t="e">
        <f>$K8</f>
        <v>#N/A</v>
      </c>
      <c r="T8" s="1264"/>
      <c r="U8" s="235"/>
      <c r="V8" s="685"/>
      <c r="W8" s="260"/>
      <c r="X8" s="685"/>
      <c r="Y8" s="1174"/>
      <c r="Z8" s="3202"/>
      <c r="AA8" s="3048" t="s">
        <v>67</v>
      </c>
      <c r="AB8" s="3202"/>
      <c r="AC8" s="3048" t="s">
        <v>67</v>
      </c>
      <c r="AD8" s="685"/>
      <c r="AE8" s="260"/>
      <c r="AF8" s="685"/>
      <c r="AG8" s="1174"/>
      <c r="AH8" s="3202"/>
      <c r="AI8" s="3048" t="s">
        <v>67</v>
      </c>
      <c r="AJ8" s="3202"/>
      <c r="AK8" s="3048" t="s">
        <v>67</v>
      </c>
      <c r="AL8" s="260"/>
      <c r="AM8" s="3194" t="s">
        <v>445</v>
      </c>
      <c r="AN8" s="1553" t="e">
        <f ca="1">STRCHECKDATE(V9:AL9)</f>
        <v>#NAME?</v>
      </c>
      <c r="AO8" s="1541"/>
      <c r="AP8" s="1541" t="str">
        <f t="shared" si="0"/>
        <v/>
      </c>
      <c r="AQ8" s="1541"/>
      <c r="AR8" s="1541"/>
      <c r="AS8" s="1548">
        <v>0</v>
      </c>
    </row>
    <row r="9" spans="1:45" ht="0.75" hidden="1" customHeight="1">
      <c r="A9" s="1184"/>
      <c r="B9" s="1184"/>
      <c r="C9" s="1184"/>
      <c r="D9" s="1184"/>
      <c r="E9" s="3224"/>
      <c r="F9" s="3224"/>
      <c r="G9" s="3224"/>
      <c r="H9" s="3224"/>
      <c r="I9" s="3038"/>
      <c r="J9" s="3038"/>
      <c r="K9" s="3067"/>
      <c r="L9" s="1227"/>
      <c r="M9" s="1552"/>
      <c r="N9" s="1548"/>
      <c r="O9" s="1548"/>
      <c r="P9" s="3198"/>
      <c r="Q9" s="3198"/>
      <c r="R9" s="291"/>
      <c r="S9" s="1878"/>
      <c r="T9" s="235"/>
      <c r="U9" s="235"/>
      <c r="V9" s="260"/>
      <c r="W9" s="260"/>
      <c r="X9" s="260"/>
      <c r="Y9" s="263" t="str">
        <f>Z8&amp;"-"&amp;AB8</f>
        <v>-</v>
      </c>
      <c r="Z9" s="3203"/>
      <c r="AA9" s="3048"/>
      <c r="AB9" s="3203"/>
      <c r="AC9" s="3048"/>
      <c r="AD9" s="260"/>
      <c r="AE9" s="260"/>
      <c r="AF9" s="260"/>
      <c r="AG9" s="263" t="str">
        <f>AH8&amp;"-"&amp;AJ8</f>
        <v>-</v>
      </c>
      <c r="AH9" s="3203"/>
      <c r="AI9" s="3048"/>
      <c r="AJ9" s="3203"/>
      <c r="AK9" s="3048"/>
      <c r="AL9" s="260"/>
      <c r="AM9" s="3195"/>
      <c r="AO9" s="1541"/>
      <c r="AP9" s="1541" t="str">
        <f t="shared" si="0"/>
        <v/>
      </c>
      <c r="AQ9" s="1541"/>
      <c r="AR9" s="1541"/>
      <c r="AS9" s="1548">
        <v>0</v>
      </c>
    </row>
    <row r="10" spans="1:45" ht="15" hidden="1" customHeight="1">
      <c r="A10" s="1184"/>
      <c r="B10" s="1184"/>
      <c r="C10" s="1184"/>
      <c r="D10" s="1184"/>
      <c r="E10" s="3224"/>
      <c r="F10" s="3224"/>
      <c r="G10" s="3224"/>
      <c r="H10" s="3224"/>
      <c r="I10" s="3038"/>
      <c r="J10" s="3067"/>
      <c r="K10" s="1184"/>
      <c r="L10" s="1227"/>
      <c r="M10" s="1552"/>
      <c r="N10" s="1548"/>
      <c r="P10" s="3198"/>
      <c r="Q10" s="3198"/>
      <c r="R10" s="290"/>
      <c r="S10" s="1195"/>
      <c r="T10" s="223" t="s">
        <v>446</v>
      </c>
      <c r="U10" s="534"/>
      <c r="V10" s="534"/>
      <c r="W10" s="534"/>
      <c r="X10" s="534"/>
      <c r="Y10" s="534"/>
      <c r="Z10" s="534"/>
      <c r="AA10" s="534"/>
      <c r="AB10" s="534"/>
      <c r="AC10" s="534"/>
      <c r="AD10" s="534"/>
      <c r="AE10" s="534"/>
      <c r="AF10" s="534"/>
      <c r="AG10" s="534"/>
      <c r="AH10" s="534"/>
      <c r="AI10" s="534"/>
      <c r="AJ10" s="534"/>
      <c r="AK10" s="534"/>
      <c r="AL10" s="259"/>
      <c r="AM10" s="3196"/>
      <c r="AO10" s="1541"/>
      <c r="AP10" s="1541" t="str">
        <f t="shared" si="0"/>
        <v>Добавить вид теплоносителя (параметры теплоносителя)</v>
      </c>
      <c r="AQ10" s="1541"/>
      <c r="AR10" s="1541"/>
      <c r="AS10" s="1548">
        <v>0</v>
      </c>
    </row>
    <row r="11" spans="1:45" ht="15" hidden="1" customHeight="1">
      <c r="A11" s="1184"/>
      <c r="B11" s="1184"/>
      <c r="C11" s="1184"/>
      <c r="D11" s="1184"/>
      <c r="E11" s="3224"/>
      <c r="F11" s="3224"/>
      <c r="G11" s="3224"/>
      <c r="H11" s="3224"/>
      <c r="I11" s="3067"/>
      <c r="J11" s="1184"/>
      <c r="K11" s="1184"/>
      <c r="L11" s="1227"/>
      <c r="M11" s="1552"/>
      <c r="P11" s="3198"/>
      <c r="Q11" s="1865"/>
      <c r="R11" s="290"/>
      <c r="S11" s="1195"/>
      <c r="T11" s="222" t="s">
        <v>447</v>
      </c>
      <c r="U11" s="534"/>
      <c r="V11" s="534"/>
      <c r="W11" s="534"/>
      <c r="X11" s="534"/>
      <c r="Y11" s="534"/>
      <c r="Z11" s="534"/>
      <c r="AA11" s="534"/>
      <c r="AB11" s="534"/>
      <c r="AC11" s="300"/>
      <c r="AD11" s="534"/>
      <c r="AE11" s="534"/>
      <c r="AF11" s="534"/>
      <c r="AG11" s="534"/>
      <c r="AH11" s="534"/>
      <c r="AI11" s="534"/>
      <c r="AJ11" s="534"/>
      <c r="AK11" s="300"/>
      <c r="AL11" s="534"/>
      <c r="AM11" s="238"/>
      <c r="AO11" s="1541"/>
      <c r="AP11" s="1541" t="str">
        <f t="shared" si="0"/>
        <v>Добавить группу потребителей</v>
      </c>
      <c r="AQ11" s="1541"/>
      <c r="AR11" s="1541"/>
      <c r="AS11" s="1548">
        <v>0</v>
      </c>
    </row>
    <row r="12" spans="1:45" ht="14.25" hidden="1" customHeight="1">
      <c r="A12" s="1184"/>
      <c r="B12" s="1184"/>
      <c r="C12" s="1184"/>
      <c r="D12" s="1184"/>
      <c r="E12" s="3224"/>
      <c r="F12" s="3224"/>
      <c r="G12" s="3224"/>
      <c r="H12" s="3223"/>
      <c r="I12" s="1184"/>
      <c r="J12" s="1184"/>
      <c r="K12" s="1184"/>
      <c r="L12" s="1227"/>
      <c r="M12" s="1527"/>
      <c r="N12" s="1527"/>
      <c r="O12" s="1552"/>
      <c r="P12" s="294"/>
      <c r="Q12" s="309"/>
      <c r="R12" s="289"/>
      <c r="S12" s="1195"/>
      <c r="T12" s="299" t="s">
        <v>448</v>
      </c>
      <c r="U12" s="534"/>
      <c r="V12" s="534"/>
      <c r="W12" s="534"/>
      <c r="X12" s="534"/>
      <c r="Y12" s="534"/>
      <c r="Z12" s="534"/>
      <c r="AA12" s="534"/>
      <c r="AB12" s="534"/>
      <c r="AC12" s="300"/>
      <c r="AD12" s="534"/>
      <c r="AE12" s="534"/>
      <c r="AF12" s="534"/>
      <c r="AG12" s="534"/>
      <c r="AH12" s="534"/>
      <c r="AI12" s="534"/>
      <c r="AJ12" s="534"/>
      <c r="AK12" s="300"/>
      <c r="AL12" s="534"/>
      <c r="AM12" s="238"/>
      <c r="AO12" s="1541"/>
      <c r="AP12" s="1541" t="str">
        <f t="shared" si="0"/>
        <v>Добавить схему подключения</v>
      </c>
      <c r="AQ12" s="1541"/>
      <c r="AR12" s="1541"/>
      <c r="AS12" s="1548">
        <v>0</v>
      </c>
    </row>
    <row r="13" spans="1:45" s="2017" customFormat="1" ht="0.75" hidden="1" customHeight="1">
      <c r="A13" s="1291"/>
      <c r="B13" s="1291"/>
      <c r="C13" s="1291"/>
      <c r="D13" s="1291"/>
      <c r="E13" s="3224"/>
      <c r="F13" s="3224"/>
      <c r="G13" s="3223"/>
      <c r="H13" s="1291"/>
      <c r="I13" s="1291"/>
      <c r="J13" s="1291"/>
      <c r="K13" s="1291"/>
      <c r="L13" s="1294"/>
      <c r="M13" s="1295"/>
      <c r="N13" s="1295"/>
      <c r="O13" s="285"/>
      <c r="P13" s="1233"/>
      <c r="Q13" s="1234"/>
      <c r="R13" s="1233"/>
      <c r="S13" s="1235"/>
      <c r="T13" s="1236" t="s">
        <v>180</v>
      </c>
      <c r="U13" s="1237"/>
      <c r="V13" s="1237"/>
      <c r="W13" s="1237"/>
      <c r="X13" s="1237"/>
      <c r="Y13" s="1237"/>
      <c r="Z13" s="1237"/>
      <c r="AA13" s="1237"/>
      <c r="AB13" s="1237"/>
      <c r="AC13" s="1237"/>
      <c r="AD13" s="1237"/>
      <c r="AE13" s="1237"/>
      <c r="AF13" s="1237"/>
      <c r="AG13" s="1237"/>
      <c r="AH13" s="1237"/>
      <c r="AI13" s="1237"/>
      <c r="AJ13" s="1237"/>
      <c r="AK13" s="1237"/>
      <c r="AL13" s="1237"/>
      <c r="AM13" s="1237"/>
      <c r="AO13" s="1168"/>
      <c r="AP13" s="1168" t="str">
        <f t="shared" si="0"/>
        <v>Добавить источник для дифференциации</v>
      </c>
      <c r="AQ13" s="1168"/>
      <c r="AR13" s="1168"/>
      <c r="AS13" s="1559">
        <v>0</v>
      </c>
    </row>
    <row r="14" spans="1:45" s="2017" customFormat="1" ht="0.75" hidden="1" customHeight="1">
      <c r="A14" s="1291"/>
      <c r="B14" s="1291"/>
      <c r="C14" s="1291"/>
      <c r="D14" s="1291"/>
      <c r="E14" s="3224"/>
      <c r="F14" s="3223"/>
      <c r="G14" s="1291"/>
      <c r="H14" s="1291"/>
      <c r="I14" s="1291"/>
      <c r="J14" s="1291"/>
      <c r="K14" s="1291"/>
      <c r="L14" s="1294"/>
      <c r="M14" s="1296"/>
      <c r="N14" s="1296"/>
      <c r="O14" s="285"/>
      <c r="P14" s="1233"/>
      <c r="Q14" s="1234"/>
      <c r="R14" s="1233"/>
      <c r="S14" s="1239"/>
      <c r="T14" s="1240" t="s">
        <v>181</v>
      </c>
      <c r="U14" s="1241"/>
      <c r="V14" s="1241"/>
      <c r="W14" s="1241"/>
      <c r="X14" s="1241"/>
      <c r="Y14" s="1241"/>
      <c r="Z14" s="1241"/>
      <c r="AA14" s="1241"/>
      <c r="AB14" s="1241"/>
      <c r="AC14" s="1241"/>
      <c r="AD14" s="1241"/>
      <c r="AE14" s="1241"/>
      <c r="AF14" s="1241"/>
      <c r="AG14" s="1241"/>
      <c r="AH14" s="1241"/>
      <c r="AI14" s="1241"/>
      <c r="AJ14" s="1241"/>
      <c r="AK14" s="1241"/>
      <c r="AL14" s="1241"/>
      <c r="AM14" s="1241"/>
      <c r="AO14" s="1168"/>
      <c r="AP14" s="1168" t="str">
        <f t="shared" si="0"/>
        <v>Добавить централизованную систему для дифференциации</v>
      </c>
      <c r="AQ14" s="1168"/>
      <c r="AR14" s="1168"/>
      <c r="AS14" s="1559">
        <v>0</v>
      </c>
    </row>
    <row r="15" spans="1:45" s="2017" customFormat="1" ht="0.75" hidden="1" customHeight="1">
      <c r="A15" s="1291"/>
      <c r="B15" s="1291"/>
      <c r="C15" s="1291"/>
      <c r="D15" s="1291"/>
      <c r="E15" s="3223"/>
      <c r="F15" s="1291"/>
      <c r="G15" s="1291"/>
      <c r="H15" s="1291"/>
      <c r="I15" s="1291"/>
      <c r="J15" s="1291"/>
      <c r="K15" s="1291"/>
      <c r="L15" s="1294"/>
      <c r="M15" s="1296"/>
      <c r="N15" s="1296"/>
      <c r="O15" s="285"/>
      <c r="P15" s="1233"/>
      <c r="Q15" s="1234"/>
      <c r="R15" s="1233"/>
      <c r="S15" s="1239"/>
      <c r="T15" s="1242" t="s">
        <v>188</v>
      </c>
      <c r="U15" s="1241"/>
      <c r="V15" s="1241"/>
      <c r="W15" s="1241"/>
      <c r="X15" s="1241"/>
      <c r="Y15" s="1241"/>
      <c r="Z15" s="1241"/>
      <c r="AA15" s="1241"/>
      <c r="AB15" s="1241"/>
      <c r="AC15" s="1241"/>
      <c r="AD15" s="1241"/>
      <c r="AE15" s="1241"/>
      <c r="AF15" s="1241"/>
      <c r="AG15" s="1241"/>
      <c r="AH15" s="1241"/>
      <c r="AI15" s="1241"/>
      <c r="AJ15" s="1241"/>
      <c r="AK15" s="1241"/>
      <c r="AL15" s="1241"/>
      <c r="AM15" s="1241"/>
      <c r="AO15" s="1168"/>
      <c r="AP15" s="1168" t="str">
        <f t="shared" si="0"/>
        <v>Добавить территорию для дифференциации</v>
      </c>
      <c r="AQ15" s="1168"/>
      <c r="AR15" s="1168"/>
      <c r="AS15" s="1559">
        <v>0</v>
      </c>
    </row>
    <row r="16" spans="1:45" ht="14.25" hidden="1" customHeight="1">
      <c r="AS16" s="1548">
        <v>0</v>
      </c>
    </row>
    <row r="17" spans="1:45" ht="14.25" hidden="1" customHeight="1">
      <c r="AD17" s="1277"/>
      <c r="AE17" s="1277"/>
      <c r="AF17" s="1277"/>
      <c r="AG17" s="1278"/>
      <c r="AH17" s="3204"/>
      <c r="AI17" s="3205" t="s">
        <v>67</v>
      </c>
      <c r="AJ17" s="3204"/>
      <c r="AK17" s="3205" t="s">
        <v>67</v>
      </c>
      <c r="AS17" s="1548">
        <v>0</v>
      </c>
    </row>
    <row r="18" spans="1:45" ht="14.25" hidden="1" customHeight="1">
      <c r="AD18" s="1277"/>
      <c r="AE18" s="1277"/>
      <c r="AF18" s="1277"/>
      <c r="AG18" s="263" t="str">
        <f>AH17&amp;"-"&amp;AJ17</f>
        <v>-</v>
      </c>
      <c r="AH18" s="3205"/>
      <c r="AI18" s="3205"/>
      <c r="AJ18" s="3205"/>
      <c r="AK18" s="3205"/>
      <c r="AS18" s="1548">
        <v>0</v>
      </c>
    </row>
    <row r="19" spans="1:45" ht="14.25" hidden="1" customHeight="1">
      <c r="AS19" s="1548">
        <v>0</v>
      </c>
    </row>
    <row r="20" spans="1:45" s="2016" customFormat="1" ht="14.25" hidden="1" customHeight="1">
      <c r="A20" s="1548"/>
      <c r="B20" s="1548"/>
      <c r="C20" s="1548"/>
      <c r="D20" s="1548"/>
      <c r="E20" s="1548"/>
      <c r="F20" s="1548"/>
      <c r="G20" s="1548"/>
      <c r="H20" s="1548"/>
      <c r="I20" s="1548"/>
      <c r="J20" s="1548"/>
      <c r="K20" s="1548"/>
      <c r="L20" s="1850"/>
      <c r="M20" s="1876"/>
      <c r="N20" s="1876"/>
      <c r="O20" s="1262" t="s">
        <v>449</v>
      </c>
      <c r="P20" s="1279"/>
      <c r="Q20" s="1288"/>
      <c r="R20" s="1288"/>
      <c r="S20" s="663"/>
      <c r="Z20" s="1284"/>
      <c r="AB20" s="1284"/>
      <c r="AH20" s="1284"/>
      <c r="AJ20" s="1284"/>
      <c r="AN20" s="1553"/>
      <c r="AO20" s="1553"/>
      <c r="AP20" s="1553"/>
      <c r="AQ20" s="1553"/>
      <c r="AR20" s="1553"/>
      <c r="AS20" s="1283">
        <v>0</v>
      </c>
    </row>
    <row r="21" spans="1:45" s="2016" customFormat="1" ht="14.25" hidden="1" customHeight="1">
      <c r="A21" s="1548"/>
      <c r="B21" s="1548"/>
      <c r="C21" s="1548"/>
      <c r="D21" s="1548"/>
      <c r="E21" s="1548"/>
      <c r="F21" s="1548"/>
      <c r="G21" s="1548"/>
      <c r="H21" s="1548"/>
      <c r="I21" s="1548"/>
      <c r="J21" s="1548"/>
      <c r="K21" s="1548"/>
      <c r="L21" s="1850"/>
      <c r="M21" s="1876"/>
      <c r="N21" s="1876"/>
      <c r="O21" s="1876"/>
      <c r="P21" s="1279"/>
      <c r="Q21" s="1288"/>
      <c r="R21" s="1288"/>
      <c r="S21" s="663"/>
      <c r="AN21" s="1553"/>
      <c r="AO21" s="1553"/>
      <c r="AP21" s="1553"/>
      <c r="AQ21" s="1553"/>
      <c r="AR21" s="1553"/>
      <c r="AS21" s="1283">
        <v>0</v>
      </c>
    </row>
    <row r="22" spans="1:45" s="2016" customFormat="1" ht="14.25" hidden="1" customHeight="1">
      <c r="A22" s="1548"/>
      <c r="B22" s="1548"/>
      <c r="C22" s="1548"/>
      <c r="D22" s="1548"/>
      <c r="E22" s="1548"/>
      <c r="F22" s="1548"/>
      <c r="G22" s="1548"/>
      <c r="H22" s="1548"/>
      <c r="I22" s="1548"/>
      <c r="J22" s="1548"/>
      <c r="K22" s="1548"/>
      <c r="L22" s="1850"/>
      <c r="M22" s="1876"/>
      <c r="N22" s="1876"/>
      <c r="O22" s="1227" t="s">
        <v>450</v>
      </c>
      <c r="P22" s="1279"/>
      <c r="Q22" s="1288"/>
      <c r="R22" s="1288"/>
      <c r="S22" s="663"/>
      <c r="T22" s="1283" t="s">
        <v>451</v>
      </c>
      <c r="AA22" s="529" t="s">
        <v>452</v>
      </c>
      <c r="AC22" s="529" t="s">
        <v>453</v>
      </c>
      <c r="AD22" s="1283" t="s">
        <v>451</v>
      </c>
      <c r="AI22" s="529" t="s">
        <v>454</v>
      </c>
      <c r="AK22" s="529" t="s">
        <v>453</v>
      </c>
      <c r="AN22" s="1553"/>
      <c r="AO22" s="1553"/>
      <c r="AP22" s="1553"/>
      <c r="AQ22" s="1553"/>
      <c r="AR22" s="1553"/>
      <c r="AS22" s="1283">
        <v>0</v>
      </c>
    </row>
    <row r="23" spans="1:45" ht="14.25" hidden="1" customHeight="1">
      <c r="O23" s="1227"/>
      <c r="AS23" s="1548">
        <v>0</v>
      </c>
    </row>
    <row r="24" spans="1:45" ht="14.25" hidden="1" customHeight="1">
      <c r="O24" s="1227"/>
      <c r="AS24" s="1548">
        <v>0</v>
      </c>
    </row>
    <row r="25" spans="1:45" ht="14.65" customHeight="1">
      <c r="Q25" s="310"/>
      <c r="R25" s="310"/>
      <c r="S25" s="1192"/>
      <c r="T25" s="391"/>
      <c r="U25" s="391"/>
      <c r="V25" s="1552"/>
      <c r="W25" s="1552"/>
      <c r="X25" s="1552"/>
      <c r="Y25" s="1552"/>
      <c r="Z25" s="1552"/>
      <c r="AA25" s="1552"/>
      <c r="AB25" s="1552"/>
      <c r="AC25" s="1552"/>
      <c r="AD25" s="1552"/>
      <c r="AE25" s="1552"/>
      <c r="AF25" s="1552"/>
      <c r="AG25" s="1552"/>
      <c r="AH25" s="1552"/>
      <c r="AI25" s="1552"/>
      <c r="AJ25" s="1552"/>
      <c r="AK25" s="1552"/>
      <c r="AS25" s="1548">
        <v>14</v>
      </c>
    </row>
    <row r="26" spans="1:45" ht="14.65" customHeight="1">
      <c r="Q26" s="310"/>
      <c r="R26" s="310"/>
      <c r="S26" s="3183"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3183"/>
      <c r="U26" s="3183"/>
      <c r="V26" s="3183"/>
      <c r="W26" s="3183"/>
      <c r="X26" s="3183"/>
      <c r="Y26" s="3183"/>
      <c r="Z26" s="3183"/>
      <c r="AA26" s="3183"/>
      <c r="AB26" s="3183"/>
      <c r="AC26" s="3183"/>
      <c r="AD26" s="3183"/>
      <c r="AE26" s="3183"/>
      <c r="AF26" s="3183"/>
      <c r="AG26" s="3183"/>
      <c r="AH26" s="3183"/>
      <c r="AI26" s="3183"/>
      <c r="AJ26" s="3183"/>
      <c r="AK26" s="1160"/>
      <c r="AS26" s="1548">
        <v>14</v>
      </c>
    </row>
    <row r="27" spans="1:45" ht="14.65" customHeight="1">
      <c r="Q27" s="310"/>
      <c r="R27" s="310"/>
      <c r="S27" s="3131" t="str">
        <f>IF(org=0,"Не определено",org)</f>
        <v>ООО "РСО"</v>
      </c>
      <c r="T27" s="3131"/>
      <c r="U27" s="3131"/>
      <c r="V27" s="3131"/>
      <c r="W27" s="3131"/>
      <c r="X27" s="3131"/>
      <c r="Y27" s="3131"/>
      <c r="Z27" s="3131"/>
      <c r="AA27" s="3131"/>
      <c r="AB27" s="3131"/>
      <c r="AC27" s="3131"/>
      <c r="AD27" s="3131"/>
      <c r="AE27" s="3131"/>
      <c r="AF27" s="3131"/>
      <c r="AG27" s="3131"/>
      <c r="AH27" s="3131"/>
      <c r="AI27" s="3131"/>
      <c r="AJ27" s="3131"/>
      <c r="AK27" s="1160"/>
      <c r="AS27" s="1548">
        <v>14</v>
      </c>
    </row>
    <row r="28" spans="1:45" ht="14.25" hidden="1" customHeight="1">
      <c r="Q28" s="310"/>
      <c r="R28" s="310"/>
      <c r="S28" s="1192"/>
      <c r="T28" s="391"/>
      <c r="U28" s="391"/>
      <c r="V28" s="257"/>
      <c r="W28" s="257"/>
      <c r="X28" s="257"/>
      <c r="Y28" s="257"/>
      <c r="Z28" s="257"/>
      <c r="AA28" s="257"/>
      <c r="AB28" s="257"/>
      <c r="AC28" s="257"/>
      <c r="AD28" s="257"/>
      <c r="AE28" s="257"/>
      <c r="AF28" s="257"/>
      <c r="AG28" s="257"/>
      <c r="AH28" s="257"/>
      <c r="AI28" s="257"/>
      <c r="AJ28" s="257"/>
      <c r="AK28" s="257"/>
      <c r="AL28" s="1552"/>
      <c r="AS28" s="1548">
        <v>0</v>
      </c>
    </row>
    <row r="29" spans="1:45" s="2028" customFormat="1" ht="25.5" hidden="1" customHeight="1">
      <c r="A29" s="1165"/>
      <c r="B29" s="1165"/>
      <c r="C29" s="1165"/>
      <c r="D29" s="1165"/>
      <c r="E29" s="1165"/>
      <c r="F29" s="1165"/>
      <c r="G29" s="1165"/>
      <c r="H29" s="1165"/>
      <c r="I29" s="1165"/>
      <c r="J29" s="1165"/>
      <c r="K29" s="1165"/>
      <c r="L29" s="1297"/>
      <c r="M29" s="1165"/>
      <c r="N29" s="1165"/>
      <c r="O29" s="1165"/>
      <c r="S29" s="3191" t="s">
        <v>42</v>
      </c>
      <c r="T29" s="3191"/>
      <c r="U29" s="1289"/>
      <c r="V29" s="3192" t="str">
        <f>IF(TITLE_NAME_OR_PR_CHANGE="",IF(TITLE_NAME_OR_PR="","",TITLE_NAME_OR_PR),TITLE_NAME_OR_PR_CHANGE)</f>
        <v/>
      </c>
      <c r="W29" s="3192"/>
      <c r="X29" s="3192"/>
      <c r="Y29" s="3192"/>
      <c r="Z29" s="3192"/>
      <c r="AA29" s="3192"/>
      <c r="AB29" s="3192"/>
      <c r="AC29" s="1552"/>
      <c r="AD29" s="3192" t="str">
        <f>IF(TITLE_NAME_OR_PR_CHANGE="",IF(TITLE_NAME_OR_PR="","",TITLE_NAME_OR_PR),TITLE_NAME_OR_PR_CHANGE)</f>
        <v/>
      </c>
      <c r="AE29" s="3192"/>
      <c r="AF29" s="3192"/>
      <c r="AG29" s="3192"/>
      <c r="AH29" s="3192"/>
      <c r="AI29" s="3192"/>
      <c r="AJ29" s="3192"/>
      <c r="AK29" s="1552"/>
      <c r="AL29" s="1552"/>
      <c r="AM29" s="215"/>
      <c r="AN29" s="302"/>
      <c r="AO29" s="302"/>
      <c r="AP29" s="302"/>
      <c r="AQ29" s="302"/>
      <c r="AR29" s="302"/>
      <c r="AS29" s="352">
        <v>0</v>
      </c>
    </row>
    <row r="30" spans="1:45" s="2028" customFormat="1" ht="18.75" hidden="1" customHeight="1">
      <c r="A30" s="1165"/>
      <c r="B30" s="1165"/>
      <c r="C30" s="1165"/>
      <c r="D30" s="1165"/>
      <c r="E30" s="1165"/>
      <c r="F30" s="1165"/>
      <c r="G30" s="1165"/>
      <c r="H30" s="1165"/>
      <c r="I30" s="1165"/>
      <c r="J30" s="1165"/>
      <c r="K30" s="1165"/>
      <c r="L30" s="1297"/>
      <c r="M30" s="1165"/>
      <c r="N30" s="1165"/>
      <c r="O30" s="1165"/>
      <c r="S30" s="3191" t="s">
        <v>455</v>
      </c>
      <c r="T30" s="3191"/>
      <c r="U30" s="1289"/>
      <c r="V30" s="3201">
        <f>IF(TITLE_DATE_PR_CHANGE="",IF(TITLE_DATE_PR="","",TITLE_DATE_PR),TITLE_DATE_PR_CHANGE)</f>
        <v>45408</v>
      </c>
      <c r="W30" s="3201"/>
      <c r="X30" s="3201"/>
      <c r="Y30" s="3201"/>
      <c r="Z30" s="3201"/>
      <c r="AA30" s="3201"/>
      <c r="AB30" s="3201"/>
      <c r="AC30" s="1552"/>
      <c r="AD30" s="3201">
        <f>IF(TITLE_DATE_PR_CHANGE="",IF(TITLE_DATE_PR="","",TITLE_DATE_PR),TITLE_DATE_PR_CHANGE)</f>
        <v>45408</v>
      </c>
      <c r="AE30" s="3201"/>
      <c r="AF30" s="3201"/>
      <c r="AG30" s="3201"/>
      <c r="AH30" s="3201"/>
      <c r="AI30" s="3201"/>
      <c r="AJ30" s="3201"/>
      <c r="AK30" s="1552"/>
      <c r="AL30" s="1552"/>
      <c r="AM30" s="215"/>
      <c r="AN30" s="302"/>
      <c r="AO30" s="302"/>
      <c r="AP30" s="302"/>
      <c r="AQ30" s="302"/>
      <c r="AR30" s="302"/>
      <c r="AS30" s="352">
        <v>0</v>
      </c>
    </row>
    <row r="31" spans="1:45" s="2028" customFormat="1" ht="18.75" hidden="1" customHeight="1">
      <c r="A31" s="1165"/>
      <c r="B31" s="1165"/>
      <c r="C31" s="1165"/>
      <c r="D31" s="1165"/>
      <c r="E31" s="1165"/>
      <c r="F31" s="1165"/>
      <c r="G31" s="1165"/>
      <c r="H31" s="1165"/>
      <c r="I31" s="1165"/>
      <c r="J31" s="1165"/>
      <c r="K31" s="1165"/>
      <c r="L31" s="1297"/>
      <c r="M31" s="1165"/>
      <c r="N31" s="1165"/>
      <c r="O31" s="1165"/>
      <c r="S31" s="3191" t="s">
        <v>456</v>
      </c>
      <c r="T31" s="3191"/>
      <c r="U31" s="1289"/>
      <c r="V31" s="3192" t="str">
        <f>IF(TITLE_NUMBER_PR_CHANGE="",IF(TITLE_NUMBER_PR="","",TITLE_NUMBER_PR),TITLE_NUMBER_PR_CHANGE)</f>
        <v>04-24/132, 04-24/131</v>
      </c>
      <c r="W31" s="3192"/>
      <c r="X31" s="3192"/>
      <c r="Y31" s="3192"/>
      <c r="Z31" s="3192"/>
      <c r="AA31" s="3192"/>
      <c r="AB31" s="3192"/>
      <c r="AC31" s="1552"/>
      <c r="AD31" s="3192" t="str">
        <f>IF(TITLE_NUMBER_PR_CHANGE="",IF(TITLE_NUMBER_PR="","",TITLE_NUMBER_PR),TITLE_NUMBER_PR_CHANGE)</f>
        <v>04-24/132, 04-24/131</v>
      </c>
      <c r="AE31" s="3192"/>
      <c r="AF31" s="3192"/>
      <c r="AG31" s="3192"/>
      <c r="AH31" s="3192"/>
      <c r="AI31" s="3192"/>
      <c r="AJ31" s="3192"/>
      <c r="AK31" s="1552"/>
      <c r="AL31" s="1552"/>
      <c r="AM31" s="215"/>
      <c r="AN31" s="302"/>
      <c r="AO31" s="302"/>
      <c r="AP31" s="302"/>
      <c r="AQ31" s="302"/>
      <c r="AR31" s="302"/>
      <c r="AS31" s="352">
        <v>0</v>
      </c>
    </row>
    <row r="32" spans="1:45" s="2028" customFormat="1" ht="18.75" hidden="1" customHeight="1">
      <c r="A32" s="1165"/>
      <c r="B32" s="1165"/>
      <c r="C32" s="1165"/>
      <c r="D32" s="1165"/>
      <c r="E32" s="1165"/>
      <c r="F32" s="1165"/>
      <c r="G32" s="1165"/>
      <c r="H32" s="1165"/>
      <c r="I32" s="1165"/>
      <c r="J32" s="1165"/>
      <c r="K32" s="1165"/>
      <c r="L32" s="1297"/>
      <c r="M32" s="1165"/>
      <c r="N32" s="1165"/>
      <c r="O32" s="1165"/>
      <c r="S32" s="3191" t="s">
        <v>43</v>
      </c>
      <c r="T32" s="3191"/>
      <c r="U32" s="1289"/>
      <c r="V32" s="3192" t="str">
        <f>IF(TITLE_IST_PUB_CHANGE="",IF(TITLE_IST_PUB="","",TITLE_IST_PUB),TITLE_IST_PUB_CHANGE)</f>
        <v/>
      </c>
      <c r="W32" s="3192"/>
      <c r="X32" s="3192"/>
      <c r="Y32" s="3192"/>
      <c r="Z32" s="3192"/>
      <c r="AA32" s="3192"/>
      <c r="AB32" s="3192"/>
      <c r="AC32" s="1552"/>
      <c r="AD32" s="3192" t="str">
        <f>IF(TITLE_IST_PUB_CHANGE="",IF(TITLE_IST_PUB="","",TITLE_IST_PUB),TITLE_IST_PUB_CHANGE)</f>
        <v/>
      </c>
      <c r="AE32" s="3192"/>
      <c r="AF32" s="3192"/>
      <c r="AG32" s="3192"/>
      <c r="AH32" s="3192"/>
      <c r="AI32" s="3192"/>
      <c r="AJ32" s="3192"/>
      <c r="AK32" s="1552"/>
      <c r="AL32" s="1552"/>
      <c r="AM32" s="215"/>
      <c r="AN32" s="302"/>
      <c r="AO32" s="302"/>
      <c r="AP32" s="302"/>
      <c r="AQ32" s="302"/>
      <c r="AR32" s="302"/>
      <c r="AS32" s="352">
        <v>0</v>
      </c>
    </row>
    <row r="33" spans="1:45" ht="14.25" hidden="1" customHeight="1">
      <c r="Q33" s="310"/>
      <c r="R33" s="310"/>
      <c r="S33" s="1192"/>
      <c r="T33" s="391"/>
      <c r="U33" s="391"/>
      <c r="V33" s="257"/>
      <c r="W33" s="257"/>
      <c r="X33" s="257"/>
      <c r="Y33" s="257"/>
      <c r="Z33" s="257"/>
      <c r="AA33" s="257"/>
      <c r="AB33" s="257"/>
      <c r="AC33" s="257"/>
      <c r="AD33" s="257"/>
      <c r="AE33" s="257"/>
      <c r="AF33" s="257"/>
      <c r="AG33" s="257"/>
      <c r="AH33" s="257"/>
      <c r="AI33" s="257"/>
      <c r="AJ33" s="257"/>
      <c r="AK33" s="257"/>
      <c r="AL33" s="1552"/>
      <c r="AS33" s="1548">
        <v>0</v>
      </c>
    </row>
    <row r="34" spans="1:45" s="2028" customFormat="1" ht="18.75" hidden="1" customHeight="1">
      <c r="A34" s="1165"/>
      <c r="B34" s="1165"/>
      <c r="C34" s="1165"/>
      <c r="D34" s="1165"/>
      <c r="E34" s="1165"/>
      <c r="F34" s="1165"/>
      <c r="G34" s="1165"/>
      <c r="H34" s="1165"/>
      <c r="I34" s="1165"/>
      <c r="J34" s="1165"/>
      <c r="K34" s="1165"/>
      <c r="L34" s="1297"/>
      <c r="M34" s="1165"/>
      <c r="N34" s="1165"/>
      <c r="O34" s="1165"/>
      <c r="S34" s="3191" t="s">
        <v>457</v>
      </c>
      <c r="T34" s="3191"/>
      <c r="U34" s="1289"/>
      <c r="V34" s="3201">
        <f>IF(TITLE_DATE_PR_CHANGE="",IF(TITLE_DATE_PR="","",TITLE_DATE_PR),TITLE_DATE_PR_CHANGE)</f>
        <v>45408</v>
      </c>
      <c r="W34" s="3201"/>
      <c r="X34" s="3201"/>
      <c r="Y34" s="3201"/>
      <c r="Z34" s="3201"/>
      <c r="AA34" s="3201"/>
      <c r="AB34" s="3201"/>
      <c r="AC34" s="1552"/>
      <c r="AD34" s="3201">
        <f>IF(TITLE_DATE_PR_CHANGE="",IF(TITLE_DATE_PR="","",TITLE_DATE_PR),TITLE_DATE_PR_CHANGE)</f>
        <v>45408</v>
      </c>
      <c r="AE34" s="3201"/>
      <c r="AF34" s="3201"/>
      <c r="AG34" s="3201"/>
      <c r="AH34" s="3201"/>
      <c r="AI34" s="3201"/>
      <c r="AJ34" s="3201"/>
      <c r="AK34" s="1552"/>
      <c r="AL34" s="1552"/>
      <c r="AM34" s="215"/>
      <c r="AN34" s="302"/>
      <c r="AO34" s="302"/>
      <c r="AP34" s="302"/>
      <c r="AQ34" s="302"/>
      <c r="AR34" s="302"/>
      <c r="AS34" s="352">
        <v>0</v>
      </c>
    </row>
    <row r="35" spans="1:45" s="2028" customFormat="1" ht="18.75" hidden="1" customHeight="1">
      <c r="A35" s="1165"/>
      <c r="B35" s="1165"/>
      <c r="C35" s="1165"/>
      <c r="D35" s="1165"/>
      <c r="E35" s="1165"/>
      <c r="F35" s="1165"/>
      <c r="G35" s="1165"/>
      <c r="H35" s="1165"/>
      <c r="I35" s="1165"/>
      <c r="J35" s="1165"/>
      <c r="K35" s="1165"/>
      <c r="L35" s="1297"/>
      <c r="M35" s="1165"/>
      <c r="N35" s="1165"/>
      <c r="O35" s="1165"/>
      <c r="S35" s="3191" t="s">
        <v>458</v>
      </c>
      <c r="T35" s="3191"/>
      <c r="U35" s="1289"/>
      <c r="V35" s="3192" t="str">
        <f>IF(TITLE_NUMBER_PR_CHANGE="",IF(TITLE_NUMBER_PR="","",TITLE_NUMBER_PR),TITLE_NUMBER_PR_CHANGE)</f>
        <v>04-24/132, 04-24/131</v>
      </c>
      <c r="W35" s="3192"/>
      <c r="X35" s="3192"/>
      <c r="Y35" s="3192"/>
      <c r="Z35" s="3192"/>
      <c r="AA35" s="3192"/>
      <c r="AB35" s="3192"/>
      <c r="AC35" s="1552"/>
      <c r="AD35" s="3192" t="str">
        <f>IF(TITLE_NUMBER_PR_CHANGE="",IF(TITLE_NUMBER_PR="","",TITLE_NUMBER_PR),TITLE_NUMBER_PR_CHANGE)</f>
        <v>04-24/132, 04-24/131</v>
      </c>
      <c r="AE35" s="3192"/>
      <c r="AF35" s="3192"/>
      <c r="AG35" s="3192"/>
      <c r="AH35" s="3192"/>
      <c r="AI35" s="3192"/>
      <c r="AJ35" s="3192"/>
      <c r="AK35" s="1552"/>
      <c r="AL35" s="1552"/>
      <c r="AM35" s="215"/>
      <c r="AN35" s="302"/>
      <c r="AO35" s="302"/>
      <c r="AP35" s="302"/>
      <c r="AQ35" s="302"/>
      <c r="AR35" s="302"/>
      <c r="AS35" s="352">
        <v>0</v>
      </c>
    </row>
    <row r="36" spans="1:45" s="2028" customFormat="1" ht="0" hidden="1" customHeight="1">
      <c r="A36" s="1165"/>
      <c r="B36" s="1165"/>
      <c r="C36" s="1165"/>
      <c r="D36" s="1165"/>
      <c r="E36" s="1165"/>
      <c r="F36" s="1165"/>
      <c r="G36" s="1165"/>
      <c r="H36" s="1165"/>
      <c r="I36" s="1165"/>
      <c r="J36" s="1165"/>
      <c r="K36" s="1165"/>
      <c r="L36" s="1297"/>
      <c r="M36" s="1165"/>
      <c r="N36" s="1165"/>
      <c r="O36" s="1165"/>
      <c r="S36" s="1552"/>
      <c r="T36" s="1552"/>
      <c r="U36" s="1881"/>
      <c r="V36" s="1552"/>
      <c r="W36" s="1552"/>
      <c r="X36" s="1552"/>
      <c r="Y36" s="1552"/>
      <c r="Z36" s="1552"/>
      <c r="AA36" s="1552"/>
      <c r="AB36" s="1552"/>
      <c r="AC36" s="1559" t="s">
        <v>459</v>
      </c>
      <c r="AD36" s="1552"/>
      <c r="AE36" s="1552"/>
      <c r="AF36" s="1552"/>
      <c r="AG36" s="1552"/>
      <c r="AH36" s="1552"/>
      <c r="AI36" s="1552"/>
      <c r="AJ36" s="1552"/>
      <c r="AK36" s="1559" t="s">
        <v>459</v>
      </c>
      <c r="AN36" s="302"/>
      <c r="AO36" s="302"/>
      <c r="AP36" s="302"/>
      <c r="AQ36" s="302"/>
      <c r="AR36" s="302"/>
      <c r="AS36" s="352">
        <v>0</v>
      </c>
    </row>
    <row r="37" spans="1:45" ht="14.65" customHeight="1">
      <c r="Q37" s="310"/>
      <c r="R37" s="310"/>
      <c r="S37" s="1192"/>
      <c r="T37" s="391"/>
      <c r="U37" s="1161"/>
      <c r="V37" s="3193"/>
      <c r="W37" s="3193"/>
      <c r="X37" s="3193"/>
      <c r="Y37" s="3193"/>
      <c r="Z37" s="3193"/>
      <c r="AA37" s="3193"/>
      <c r="AB37" s="3193"/>
      <c r="AC37" s="3193"/>
      <c r="AD37" s="3193"/>
      <c r="AE37" s="3193"/>
      <c r="AF37" s="3193"/>
      <c r="AG37" s="3193"/>
      <c r="AH37" s="3193"/>
      <c r="AI37" s="3193"/>
      <c r="AJ37" s="3193"/>
      <c r="AK37" s="3193"/>
      <c r="AS37" s="1548">
        <v>14</v>
      </c>
    </row>
    <row r="38" spans="1:45" ht="14.65" customHeight="1">
      <c r="Q38" s="310"/>
      <c r="R38" s="310"/>
      <c r="S38" s="3067" t="s">
        <v>335</v>
      </c>
      <c r="T38" s="3067"/>
      <c r="U38" s="3067"/>
      <c r="V38" s="3067"/>
      <c r="W38" s="3067"/>
      <c r="X38" s="3067"/>
      <c r="Y38" s="3067"/>
      <c r="Z38" s="3067"/>
      <c r="AA38" s="3067"/>
      <c r="AB38" s="3067"/>
      <c r="AC38" s="3067"/>
      <c r="AD38" s="3067"/>
      <c r="AE38" s="3067"/>
      <c r="AF38" s="3067"/>
      <c r="AG38" s="3067"/>
      <c r="AH38" s="3067"/>
      <c r="AI38" s="3067"/>
      <c r="AJ38" s="3067"/>
      <c r="AK38" s="3067"/>
      <c r="AL38" s="3067"/>
      <c r="AM38" s="3067" t="s">
        <v>336</v>
      </c>
      <c r="AS38" s="1548">
        <v>14</v>
      </c>
    </row>
    <row r="39" spans="1:45" ht="14.65" customHeight="1">
      <c r="Q39" s="310"/>
      <c r="R39" s="310"/>
      <c r="S39" s="3207" t="s">
        <v>89</v>
      </c>
      <c r="T39" s="3159" t="s">
        <v>460</v>
      </c>
      <c r="U39" s="272"/>
      <c r="V39" s="3208" t="s">
        <v>461</v>
      </c>
      <c r="W39" s="3209"/>
      <c r="X39" s="3209"/>
      <c r="Y39" s="3209"/>
      <c r="Z39" s="3209"/>
      <c r="AA39" s="3209"/>
      <c r="AB39" s="3210"/>
      <c r="AC39" s="3211" t="s">
        <v>462</v>
      </c>
      <c r="AD39" s="3208" t="s">
        <v>461</v>
      </c>
      <c r="AE39" s="3209"/>
      <c r="AF39" s="3209"/>
      <c r="AG39" s="3209"/>
      <c r="AH39" s="3209"/>
      <c r="AI39" s="3209"/>
      <c r="AJ39" s="3210"/>
      <c r="AK39" s="3211" t="s">
        <v>463</v>
      </c>
      <c r="AL39" s="3214" t="s">
        <v>464</v>
      </c>
      <c r="AM39" s="3067"/>
      <c r="AS39" s="1548">
        <v>14</v>
      </c>
    </row>
    <row r="40" spans="1:45" ht="35.65" customHeight="1">
      <c r="Q40" s="310"/>
      <c r="R40" s="310"/>
      <c r="S40" s="3207"/>
      <c r="T40" s="3159"/>
      <c r="U40" s="952"/>
      <c r="V40" s="3130" t="s">
        <v>465</v>
      </c>
      <c r="W40" s="3217" t="s">
        <v>466</v>
      </c>
      <c r="X40" s="3038" t="s">
        <v>467</v>
      </c>
      <c r="Y40" s="3037"/>
      <c r="Z40" s="3038" t="s">
        <v>480</v>
      </c>
      <c r="AA40" s="3044"/>
      <c r="AB40" s="3037"/>
      <c r="AC40" s="3212"/>
      <c r="AD40" s="3130" t="s">
        <v>465</v>
      </c>
      <c r="AE40" s="3217" t="s">
        <v>466</v>
      </c>
      <c r="AF40" s="3038" t="s">
        <v>467</v>
      </c>
      <c r="AG40" s="3037"/>
      <c r="AH40" s="3038" t="s">
        <v>468</v>
      </c>
      <c r="AI40" s="3044"/>
      <c r="AJ40" s="3037"/>
      <c r="AK40" s="3212"/>
      <c r="AL40" s="3215"/>
      <c r="AM40" s="3067"/>
      <c r="AS40" s="1548">
        <v>34</v>
      </c>
    </row>
    <row r="41" spans="1:45" ht="35.65" customHeight="1">
      <c r="A41" s="1183"/>
      <c r="B41" s="1183" t="s">
        <v>149</v>
      </c>
      <c r="C41" s="1183" t="s">
        <v>150</v>
      </c>
      <c r="D41" s="1183" t="s">
        <v>151</v>
      </c>
      <c r="E41" s="1227" t="s">
        <v>469</v>
      </c>
      <c r="F41" s="1227" t="s">
        <v>470</v>
      </c>
      <c r="G41" s="1227" t="s">
        <v>471</v>
      </c>
      <c r="H41" s="1227" t="s">
        <v>472</v>
      </c>
      <c r="I41" s="1227" t="s">
        <v>473</v>
      </c>
      <c r="J41" s="1227" t="s">
        <v>474</v>
      </c>
      <c r="K41" s="1227" t="s">
        <v>475</v>
      </c>
      <c r="L41" s="1227" t="s">
        <v>450</v>
      </c>
      <c r="Q41" s="310"/>
      <c r="R41" s="310"/>
      <c r="S41" s="3207"/>
      <c r="T41" s="3159"/>
      <c r="U41" s="237"/>
      <c r="V41" s="3178"/>
      <c r="W41" s="3218"/>
      <c r="X41" s="1849" t="s">
        <v>476</v>
      </c>
      <c r="Y41" s="1849" t="s">
        <v>477</v>
      </c>
      <c r="Z41" s="1849" t="s">
        <v>478</v>
      </c>
      <c r="AA41" s="3167" t="s">
        <v>479</v>
      </c>
      <c r="AB41" s="3169"/>
      <c r="AC41" s="3213"/>
      <c r="AD41" s="3178"/>
      <c r="AE41" s="3218"/>
      <c r="AF41" s="1849" t="s">
        <v>476</v>
      </c>
      <c r="AG41" s="1849" t="s">
        <v>477</v>
      </c>
      <c r="AH41" s="1849" t="s">
        <v>478</v>
      </c>
      <c r="AI41" s="3167" t="s">
        <v>479</v>
      </c>
      <c r="AJ41" s="3169"/>
      <c r="AK41" s="3213"/>
      <c r="AL41" s="3216"/>
      <c r="AM41" s="3067"/>
      <c r="AS41" s="1548">
        <v>34</v>
      </c>
    </row>
    <row r="42" spans="1:45" s="2212" customFormat="1" ht="11.25" hidden="1" customHeight="1">
      <c r="A42" s="1183"/>
      <c r="B42" s="1183"/>
      <c r="C42" s="1183"/>
      <c r="D42" s="1183"/>
      <c r="E42" s="1183"/>
      <c r="F42" s="1183"/>
      <c r="G42" s="1183"/>
      <c r="H42" s="1183"/>
      <c r="I42" s="1183"/>
      <c r="J42" s="1183"/>
      <c r="K42" s="1183"/>
      <c r="L42" s="1227"/>
      <c r="M42" s="1876"/>
      <c r="N42" s="1876"/>
      <c r="O42" s="1876"/>
      <c r="P42" s="1163"/>
      <c r="Q42" s="1164"/>
      <c r="R42" s="1171">
        <v>1</v>
      </c>
      <c r="S42" s="1194" t="s">
        <v>124</v>
      </c>
      <c r="T42" s="1172" t="s">
        <v>104</v>
      </c>
      <c r="U42" s="1162" t="str">
        <f ca="1">OFFSET(U42,0,-1)</f>
        <v>2</v>
      </c>
      <c r="V42" s="1867">
        <f ca="1">OFFSET(V42,0,-1)+1</f>
        <v>3</v>
      </c>
      <c r="W42" s="1867"/>
      <c r="X42" s="1867">
        <f ca="1">OFFSET(X42,0,-1)+1</f>
        <v>1</v>
      </c>
      <c r="Y42" s="1867">
        <f ca="1">OFFSET(Y42,0,-1)+1</f>
        <v>2</v>
      </c>
      <c r="Z42" s="1867">
        <f ca="1">OFFSET(Z42,0,-1)+1</f>
        <v>3</v>
      </c>
      <c r="AA42" s="3206">
        <f ca="1">OFFSET(AA42,0,-1)+1</f>
        <v>4</v>
      </c>
      <c r="AB42" s="3206"/>
      <c r="AC42" s="1867">
        <f ca="1">OFFSET(AC42,0,-2)+1</f>
        <v>5</v>
      </c>
      <c r="AD42" s="1867">
        <f ca="1">OFFSET(AD42,0,-1)+1</f>
        <v>6</v>
      </c>
      <c r="AE42" s="1867"/>
      <c r="AF42" s="1867">
        <f ca="1">OFFSET(AF42,0,-1)+1</f>
        <v>1</v>
      </c>
      <c r="AG42" s="1867">
        <f ca="1">OFFSET(AG42,0,-1)+1</f>
        <v>2</v>
      </c>
      <c r="AH42" s="1867">
        <f ca="1">OFFSET(AH42,0,-1)+1</f>
        <v>3</v>
      </c>
      <c r="AI42" s="3206">
        <f ca="1">OFFSET(AI42,0,-1)+1</f>
        <v>4</v>
      </c>
      <c r="AJ42" s="3206"/>
      <c r="AK42" s="1867">
        <f ca="1">OFFSET(AK42,0,-2)+1</f>
        <v>5</v>
      </c>
      <c r="AL42" s="1162">
        <f ca="1">OFFSET(AL42,0,-1)</f>
        <v>5</v>
      </c>
      <c r="AM42" s="1867">
        <f ca="1">OFFSET(AM42,0,-1)+1</f>
        <v>6</v>
      </c>
      <c r="AN42" s="1553"/>
      <c r="AO42" s="1553"/>
      <c r="AP42" s="1553"/>
      <c r="AQ42" s="1553"/>
      <c r="AR42" s="1553"/>
      <c r="AS42" s="1558">
        <v>0</v>
      </c>
    </row>
    <row r="43" spans="1:45" ht="22" customHeight="1">
      <c r="A43" s="1184" t="s">
        <v>247</v>
      </c>
      <c r="B43" s="1184"/>
      <c r="C43" s="1184"/>
      <c r="D43" s="1184"/>
      <c r="E43" s="3223">
        <v>1</v>
      </c>
      <c r="F43" s="1184"/>
      <c r="G43" s="1184"/>
      <c r="H43" s="1184"/>
      <c r="I43" s="1184"/>
      <c r="J43" s="1184"/>
      <c r="K43" s="1184"/>
      <c r="L43" s="1227"/>
      <c r="M43" s="1527"/>
      <c r="N43" s="1527"/>
      <c r="O43" s="1527"/>
      <c r="P43" s="1507"/>
      <c r="Q43" s="294"/>
      <c r="R43" s="289"/>
      <c r="S43" s="1869">
        <f>INDEX(PT_DIFFERENTIATION_NUM_NTAR,MATCH(A43,PT_DIFFERENTIATION_NTAR_ID,0))</f>
        <v>0</v>
      </c>
      <c r="T43" s="1442" t="s">
        <v>137</v>
      </c>
      <c r="U43" s="235"/>
      <c r="V43" s="3185"/>
      <c r="W43" s="3186"/>
      <c r="X43" s="3186"/>
      <c r="Y43" s="3186"/>
      <c r="Z43" s="3186"/>
      <c r="AA43" s="3186"/>
      <c r="AB43" s="3186"/>
      <c r="AC43" s="3187"/>
      <c r="AD43" s="3185" t="str">
        <f>INDEX(PT_DIFFERENTIATION_NTAR,MATCH(A43,PT_DIFFERENTIATION_NTAR_ID,0))</f>
        <v/>
      </c>
      <c r="AE43" s="3186"/>
      <c r="AF43" s="3186"/>
      <c r="AG43" s="3186"/>
      <c r="AH43" s="3186"/>
      <c r="AI43" s="3186"/>
      <c r="AJ43" s="3186"/>
      <c r="AK43" s="3186"/>
      <c r="AL43" s="3187"/>
      <c r="AM43" s="117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541"/>
      <c r="AP43" s="1541" t="str">
        <f t="shared" ref="AP43:AP57" si="1">IF(T43="","",T43)</f>
        <v>Наименование тарифа</v>
      </c>
      <c r="AQ43" s="1541"/>
      <c r="AR43" s="1541"/>
      <c r="AS43" s="1548">
        <v>21</v>
      </c>
    </row>
    <row r="44" spans="1:45" ht="22" customHeight="1">
      <c r="A44" s="1184" t="s">
        <v>247</v>
      </c>
      <c r="B44" s="1184" t="s">
        <v>248</v>
      </c>
      <c r="C44" s="1184"/>
      <c r="D44" s="1184"/>
      <c r="E44" s="3224"/>
      <c r="F44" s="3223">
        <v>1</v>
      </c>
      <c r="G44" s="1184"/>
      <c r="H44" s="1184"/>
      <c r="I44" s="1184"/>
      <c r="J44" s="1184"/>
      <c r="K44" s="1184"/>
      <c r="L44" s="1227"/>
      <c r="M44" s="1527"/>
      <c r="N44" s="1527"/>
      <c r="O44" s="1527"/>
      <c r="P44" s="1851"/>
      <c r="Q44" s="286"/>
      <c r="R44" s="287"/>
      <c r="S44" s="1869" t="str">
        <f>INDEX(PT_DIFFERENTIATION_NUM_TER,MATCH(B44,PT_DIFFERENTIATION_TER_ID,0))</f>
        <v>.</v>
      </c>
      <c r="T44" s="1439" t="s">
        <v>432</v>
      </c>
      <c r="U44" s="235"/>
      <c r="V44" s="3185"/>
      <c r="W44" s="3186"/>
      <c r="X44" s="3186"/>
      <c r="Y44" s="3186"/>
      <c r="Z44" s="3186"/>
      <c r="AA44" s="3186"/>
      <c r="AB44" s="3186"/>
      <c r="AC44" s="3187"/>
      <c r="AD44" s="3185" t="str">
        <f>INDEX(PT_DIFFERENTIATION_TER,MATCH(B44,PT_DIFFERENTIATION_TER_ID,0))</f>
        <v/>
      </c>
      <c r="AE44" s="3186"/>
      <c r="AF44" s="3186"/>
      <c r="AG44" s="3186"/>
      <c r="AH44" s="3186"/>
      <c r="AI44" s="3186"/>
      <c r="AJ44" s="3186"/>
      <c r="AK44" s="3186"/>
      <c r="AL44" s="3187"/>
      <c r="AM44" s="1175" t="s">
        <v>433</v>
      </c>
      <c r="AO44" s="1541"/>
      <c r="AP44" s="1541" t="str">
        <f t="shared" si="1"/>
        <v>Территория действия тарифа</v>
      </c>
      <c r="AQ44" s="1541"/>
      <c r="AR44" s="1541"/>
      <c r="AS44" s="1548">
        <v>21</v>
      </c>
    </row>
    <row r="45" spans="1:45" ht="24" customHeight="1">
      <c r="A45" s="1184" t="s">
        <v>247</v>
      </c>
      <c r="B45" s="1184" t="s">
        <v>248</v>
      </c>
      <c r="C45" s="1184" t="s">
        <v>249</v>
      </c>
      <c r="D45" s="1184"/>
      <c r="E45" s="3224"/>
      <c r="F45" s="3224"/>
      <c r="G45" s="3223">
        <v>1</v>
      </c>
      <c r="H45" s="1184"/>
      <c r="I45" s="1184"/>
      <c r="J45" s="1184"/>
      <c r="K45" s="1184"/>
      <c r="L45" s="1227"/>
      <c r="M45" s="1527"/>
      <c r="N45" s="1527"/>
      <c r="O45" s="1527"/>
      <c r="P45" s="288"/>
      <c r="Q45" s="286"/>
      <c r="R45" s="287"/>
      <c r="S45" s="1869" t="str">
        <f>INDEX(PT_DIFFERENTIATION_NUM_CS,MATCH(C45,PT_DIFFERENTIATION_CS_ID,0))</f>
        <v>..</v>
      </c>
      <c r="T45" s="244" t="s">
        <v>434</v>
      </c>
      <c r="U45" s="235"/>
      <c r="V45" s="3185"/>
      <c r="W45" s="3186"/>
      <c r="X45" s="3186"/>
      <c r="Y45" s="3186"/>
      <c r="Z45" s="3186"/>
      <c r="AA45" s="3186"/>
      <c r="AB45" s="3186"/>
      <c r="AC45" s="3187"/>
      <c r="AD45" s="3185" t="str">
        <f>INDEX(PT_DIFFERENTIATION_CS,MATCH(C45,PT_DIFFERENTIATION_CS_ID,0))</f>
        <v/>
      </c>
      <c r="AE45" s="3186"/>
      <c r="AF45" s="3186"/>
      <c r="AG45" s="3186"/>
      <c r="AH45" s="3186"/>
      <c r="AI45" s="3186"/>
      <c r="AJ45" s="3186"/>
      <c r="AK45" s="3186"/>
      <c r="AL45" s="3187"/>
      <c r="AM45" s="1175" t="s">
        <v>435</v>
      </c>
      <c r="AO45" s="1541"/>
      <c r="AP45" s="1541" t="str">
        <f t="shared" si="1"/>
        <v xml:space="preserve">Наименование системы теплоснабжения </v>
      </c>
      <c r="AQ45" s="1541"/>
      <c r="AR45" s="1541"/>
      <c r="AS45" s="1548">
        <v>23</v>
      </c>
    </row>
    <row r="46" spans="1:45" ht="22" customHeight="1">
      <c r="A46" s="1184" t="s">
        <v>247</v>
      </c>
      <c r="B46" s="1184" t="s">
        <v>248</v>
      </c>
      <c r="C46" s="1184" t="s">
        <v>249</v>
      </c>
      <c r="D46" s="1184" t="s">
        <v>250</v>
      </c>
      <c r="E46" s="3224"/>
      <c r="F46" s="3224"/>
      <c r="G46" s="3224"/>
      <c r="H46" s="3223">
        <v>1</v>
      </c>
      <c r="I46" s="1184"/>
      <c r="J46" s="1184"/>
      <c r="K46" s="1184"/>
      <c r="L46" s="1227"/>
      <c r="M46" s="1527"/>
      <c r="N46" s="1527"/>
      <c r="O46" s="1527"/>
      <c r="P46" s="288"/>
      <c r="Q46" s="286"/>
      <c r="R46" s="287"/>
      <c r="S46" s="1869" t="str">
        <f>INDEX(PT_DIFFERENTIATION_NUM_IST_TE,MATCH(D46,PT_DIFFERENTIATION_IST_TE_ID,0))</f>
        <v>...</v>
      </c>
      <c r="T46" s="245" t="s">
        <v>436</v>
      </c>
      <c r="U46" s="235"/>
      <c r="V46" s="3185"/>
      <c r="W46" s="3186"/>
      <c r="X46" s="3186"/>
      <c r="Y46" s="3186"/>
      <c r="Z46" s="3186"/>
      <c r="AA46" s="3186"/>
      <c r="AB46" s="3186"/>
      <c r="AC46" s="3187"/>
      <c r="AD46" s="3185" t="str">
        <f>INDEX(PT_DIFFERENTIATION_IST_TE,MATCH(D46,PT_DIFFERENTIATION_IST_TE_ID,0))</f>
        <v/>
      </c>
      <c r="AE46" s="3186"/>
      <c r="AF46" s="3186"/>
      <c r="AG46" s="3186"/>
      <c r="AH46" s="3186"/>
      <c r="AI46" s="3186"/>
      <c r="AJ46" s="3186"/>
      <c r="AK46" s="3186"/>
      <c r="AL46" s="3187"/>
      <c r="AM46" s="1175" t="s">
        <v>437</v>
      </c>
      <c r="AO46" s="1541"/>
      <c r="AP46" s="1541" t="str">
        <f t="shared" si="1"/>
        <v xml:space="preserve">Источник тепловой энергии  </v>
      </c>
      <c r="AQ46" s="1541"/>
      <c r="AR46" s="1541"/>
      <c r="AS46" s="1548">
        <v>21</v>
      </c>
    </row>
    <row r="47" spans="1:45" ht="49.5" customHeight="1">
      <c r="A47" s="1184" t="s">
        <v>247</v>
      </c>
      <c r="B47" s="1184" t="s">
        <v>248</v>
      </c>
      <c r="C47" s="1184" t="s">
        <v>249</v>
      </c>
      <c r="D47" s="1184" t="s">
        <v>250</v>
      </c>
      <c r="E47" s="3224"/>
      <c r="F47" s="3224"/>
      <c r="G47" s="3224"/>
      <c r="H47" s="3224"/>
      <c r="I47" s="3067" t="str">
        <f>S46&amp;".1"</f>
        <v>....1</v>
      </c>
      <c r="J47" s="1184"/>
      <c r="K47" s="1184"/>
      <c r="L47" s="1227" t="s">
        <v>438</v>
      </c>
      <c r="P47" s="3198">
        <v>1</v>
      </c>
      <c r="Q47" s="1865"/>
      <c r="R47" s="290"/>
      <c r="S47" s="1869" t="str">
        <f>$I47</f>
        <v>....1</v>
      </c>
      <c r="T47" s="220" t="s">
        <v>439</v>
      </c>
      <c r="U47" s="235"/>
      <c r="V47" s="3188"/>
      <c r="W47" s="3189"/>
      <c r="X47" s="3189"/>
      <c r="Y47" s="3189"/>
      <c r="Z47" s="3189"/>
      <c r="AA47" s="3189"/>
      <c r="AB47" s="3189"/>
      <c r="AC47" s="3190"/>
      <c r="AD47" s="3188"/>
      <c r="AE47" s="3189"/>
      <c r="AF47" s="3189"/>
      <c r="AG47" s="3189"/>
      <c r="AH47" s="3189"/>
      <c r="AI47" s="3189"/>
      <c r="AJ47" s="3189"/>
      <c r="AK47" s="3189"/>
      <c r="AL47" s="3190"/>
      <c r="AM47" s="1175" t="s">
        <v>440</v>
      </c>
      <c r="AO47" s="1541"/>
      <c r="AP47" s="1541" t="str">
        <f t="shared" si="1"/>
        <v>Схема подключения теплопотребляющей установки к коллектору источника тепловой энергии</v>
      </c>
      <c r="AQ47" s="1541"/>
      <c r="AR47" s="1541"/>
      <c r="AS47" s="1548">
        <v>47</v>
      </c>
    </row>
    <row r="48" spans="1:45" ht="22" customHeight="1">
      <c r="A48" s="1184" t="s">
        <v>247</v>
      </c>
      <c r="B48" s="1184" t="s">
        <v>248</v>
      </c>
      <c r="C48" s="1184" t="s">
        <v>249</v>
      </c>
      <c r="D48" s="1184" t="s">
        <v>250</v>
      </c>
      <c r="E48" s="3224"/>
      <c r="F48" s="3224"/>
      <c r="G48" s="3224"/>
      <c r="H48" s="3224"/>
      <c r="I48" s="3038"/>
      <c r="J48" s="3067" t="str">
        <f>I47&amp;".1"</f>
        <v>....1.1</v>
      </c>
      <c r="K48" s="1184"/>
      <c r="L48" s="1227" t="s">
        <v>441</v>
      </c>
      <c r="P48" s="3198"/>
      <c r="Q48" s="3198">
        <v>1</v>
      </c>
      <c r="R48" s="291"/>
      <c r="S48" s="1869" t="str">
        <f>$J48</f>
        <v>....1.1</v>
      </c>
      <c r="T48" s="221" t="s">
        <v>442</v>
      </c>
      <c r="U48" s="235"/>
      <c r="V48" s="3188"/>
      <c r="W48" s="3189"/>
      <c r="X48" s="3189"/>
      <c r="Y48" s="3189"/>
      <c r="Z48" s="3189"/>
      <c r="AA48" s="3189"/>
      <c r="AB48" s="3189"/>
      <c r="AC48" s="3190"/>
      <c r="AD48" s="3188"/>
      <c r="AE48" s="3189"/>
      <c r="AF48" s="3189"/>
      <c r="AG48" s="3189"/>
      <c r="AH48" s="3189"/>
      <c r="AI48" s="3189"/>
      <c r="AJ48" s="3189"/>
      <c r="AK48" s="3189"/>
      <c r="AL48" s="3190"/>
      <c r="AM48" s="1175" t="s">
        <v>443</v>
      </c>
      <c r="AO48" s="1541"/>
      <c r="AP48" s="1541" t="str">
        <f t="shared" si="1"/>
        <v>Группа потребителей</v>
      </c>
      <c r="AQ48" s="1541"/>
      <c r="AR48" s="1541"/>
      <c r="AS48" s="1548">
        <v>21</v>
      </c>
    </row>
    <row r="49" spans="1:45" ht="22" customHeight="1">
      <c r="A49" s="1184" t="s">
        <v>247</v>
      </c>
      <c r="B49" s="1184" t="s">
        <v>248</v>
      </c>
      <c r="C49" s="1184" t="s">
        <v>249</v>
      </c>
      <c r="D49" s="1184" t="s">
        <v>250</v>
      </c>
      <c r="E49" s="3224"/>
      <c r="F49" s="3224"/>
      <c r="G49" s="3224"/>
      <c r="H49" s="3224"/>
      <c r="I49" s="3038"/>
      <c r="J49" s="3038"/>
      <c r="K49" s="3067" t="str">
        <f>J48&amp;".1"</f>
        <v>....1.1.1</v>
      </c>
      <c r="L49" s="1227" t="s">
        <v>444</v>
      </c>
      <c r="P49" s="3198"/>
      <c r="Q49" s="3198"/>
      <c r="R49" s="291">
        <v>1</v>
      </c>
      <c r="S49" s="1869" t="str">
        <f>$K49</f>
        <v>....1.1.1</v>
      </c>
      <c r="T49" s="1264"/>
      <c r="U49" s="235"/>
      <c r="V49" s="685"/>
      <c r="W49" s="260"/>
      <c r="X49" s="685"/>
      <c r="Y49" s="1174"/>
      <c r="Z49" s="3202"/>
      <c r="AA49" s="3048" t="s">
        <v>67</v>
      </c>
      <c r="AB49" s="3202"/>
      <c r="AC49" s="3048" t="s">
        <v>67</v>
      </c>
      <c r="AD49" s="685"/>
      <c r="AE49" s="260"/>
      <c r="AF49" s="685"/>
      <c r="AG49" s="1174"/>
      <c r="AH49" s="3202"/>
      <c r="AI49" s="3048" t="s">
        <v>67</v>
      </c>
      <c r="AJ49" s="3221"/>
      <c r="AK49" s="3048" t="s">
        <v>67</v>
      </c>
      <c r="AL49" s="1265"/>
      <c r="AM49" s="3194" t="s">
        <v>445</v>
      </c>
      <c r="AN49" s="1553" t="e">
        <f ca="1">STRCHECKDATE(V50:AL50)</f>
        <v>#NAME?</v>
      </c>
      <c r="AO49" s="1541"/>
      <c r="AP49" s="1541" t="str">
        <f t="shared" si="1"/>
        <v/>
      </c>
      <c r="AQ49" s="1541"/>
      <c r="AR49" s="1541"/>
      <c r="AS49" s="1548">
        <v>21</v>
      </c>
    </row>
    <row r="50" spans="1:45" ht="1" customHeight="1">
      <c r="A50" s="1184" t="s">
        <v>247</v>
      </c>
      <c r="B50" s="1184" t="s">
        <v>248</v>
      </c>
      <c r="C50" s="1184" t="s">
        <v>249</v>
      </c>
      <c r="D50" s="1184" t="s">
        <v>250</v>
      </c>
      <c r="E50" s="3224"/>
      <c r="F50" s="3224"/>
      <c r="G50" s="3224"/>
      <c r="H50" s="3224"/>
      <c r="I50" s="3038"/>
      <c r="J50" s="3038"/>
      <c r="K50" s="3067"/>
      <c r="L50" s="1227"/>
      <c r="P50" s="3198"/>
      <c r="Q50" s="3198"/>
      <c r="R50" s="291"/>
      <c r="S50" s="1878"/>
      <c r="T50" s="235"/>
      <c r="U50" s="235"/>
      <c r="V50" s="260"/>
      <c r="W50" s="260"/>
      <c r="X50" s="260"/>
      <c r="Y50" s="263" t="str">
        <f>Z49&amp;"-"&amp;AB49</f>
        <v>-</v>
      </c>
      <c r="Z50" s="3203"/>
      <c r="AA50" s="3048"/>
      <c r="AB50" s="3203"/>
      <c r="AC50" s="3048"/>
      <c r="AD50" s="260"/>
      <c r="AE50" s="260"/>
      <c r="AF50" s="260"/>
      <c r="AG50" s="263" t="str">
        <f>AH49&amp;"-"&amp;AJ49</f>
        <v>-</v>
      </c>
      <c r="AH50" s="3203"/>
      <c r="AI50" s="3048"/>
      <c r="AJ50" s="3222"/>
      <c r="AK50" s="3048"/>
      <c r="AL50" s="1266"/>
      <c r="AM50" s="3195"/>
      <c r="AO50" s="1541"/>
      <c r="AP50" s="1541" t="str">
        <f t="shared" si="1"/>
        <v/>
      </c>
      <c r="AQ50" s="1541"/>
      <c r="AR50" s="1541"/>
      <c r="AS50" s="1548">
        <v>1</v>
      </c>
    </row>
    <row r="51" spans="1:45" ht="11.5" customHeight="1">
      <c r="A51" s="1184" t="s">
        <v>247</v>
      </c>
      <c r="B51" s="1184" t="s">
        <v>248</v>
      </c>
      <c r="C51" s="1184" t="s">
        <v>249</v>
      </c>
      <c r="D51" s="1184" t="s">
        <v>250</v>
      </c>
      <c r="E51" s="3224"/>
      <c r="F51" s="3224"/>
      <c r="G51" s="3224"/>
      <c r="H51" s="3224"/>
      <c r="I51" s="3038"/>
      <c r="J51" s="3067"/>
      <c r="K51" s="1184"/>
      <c r="L51" s="1227"/>
      <c r="P51" s="3198"/>
      <c r="Q51" s="3198"/>
      <c r="R51" s="290"/>
      <c r="S51" s="1195"/>
      <c r="T51" s="223" t="s">
        <v>446</v>
      </c>
      <c r="U51" s="534"/>
      <c r="V51" s="534"/>
      <c r="W51" s="534"/>
      <c r="X51" s="534"/>
      <c r="Y51" s="534"/>
      <c r="Z51" s="534"/>
      <c r="AA51" s="534"/>
      <c r="AB51" s="534"/>
      <c r="AC51" s="534"/>
      <c r="AD51" s="534"/>
      <c r="AE51" s="534"/>
      <c r="AF51" s="534"/>
      <c r="AG51" s="534"/>
      <c r="AH51" s="534"/>
      <c r="AI51" s="534"/>
      <c r="AJ51" s="534"/>
      <c r="AK51" s="534"/>
      <c r="AL51" s="259"/>
      <c r="AM51" s="3196"/>
      <c r="AO51" s="1541"/>
      <c r="AP51" s="1541" t="str">
        <f t="shared" si="1"/>
        <v>Добавить вид теплоносителя (параметры теплоносителя)</v>
      </c>
      <c r="AQ51" s="1541"/>
      <c r="AR51" s="1541"/>
      <c r="AS51" s="1548">
        <v>11</v>
      </c>
    </row>
    <row r="52" spans="1:45" ht="11.5" customHeight="1">
      <c r="A52" s="1184" t="s">
        <v>247</v>
      </c>
      <c r="B52" s="1184" t="s">
        <v>248</v>
      </c>
      <c r="C52" s="1184" t="s">
        <v>249</v>
      </c>
      <c r="D52" s="1184" t="s">
        <v>250</v>
      </c>
      <c r="E52" s="3224"/>
      <c r="F52" s="3224"/>
      <c r="G52" s="3224"/>
      <c r="H52" s="3224"/>
      <c r="I52" s="3067"/>
      <c r="J52" s="1184"/>
      <c r="K52" s="1184"/>
      <c r="L52" s="1227"/>
      <c r="P52" s="3198"/>
      <c r="Q52" s="1865"/>
      <c r="R52" s="290"/>
      <c r="S52" s="1195"/>
      <c r="T52" s="222" t="s">
        <v>447</v>
      </c>
      <c r="U52" s="534"/>
      <c r="V52" s="534"/>
      <c r="W52" s="534"/>
      <c r="X52" s="534"/>
      <c r="Y52" s="534"/>
      <c r="Z52" s="534"/>
      <c r="AA52" s="534"/>
      <c r="AB52" s="534"/>
      <c r="AC52" s="300"/>
      <c r="AD52" s="534"/>
      <c r="AE52" s="534"/>
      <c r="AF52" s="534"/>
      <c r="AG52" s="534"/>
      <c r="AH52" s="534"/>
      <c r="AI52" s="534"/>
      <c r="AJ52" s="534"/>
      <c r="AK52" s="300"/>
      <c r="AL52" s="534"/>
      <c r="AM52" s="238"/>
      <c r="AO52" s="1541"/>
      <c r="AP52" s="1541" t="str">
        <f t="shared" si="1"/>
        <v>Добавить группу потребителей</v>
      </c>
      <c r="AQ52" s="1541"/>
      <c r="AR52" s="1541"/>
      <c r="AS52" s="1548">
        <v>11</v>
      </c>
    </row>
    <row r="53" spans="1:45" ht="14.65" customHeight="1">
      <c r="A53" s="1184" t="s">
        <v>247</v>
      </c>
      <c r="B53" s="1184" t="s">
        <v>248</v>
      </c>
      <c r="C53" s="1184" t="s">
        <v>249</v>
      </c>
      <c r="D53" s="1184" t="s">
        <v>250</v>
      </c>
      <c r="E53" s="3224"/>
      <c r="F53" s="3224"/>
      <c r="G53" s="3224"/>
      <c r="H53" s="3223"/>
      <c r="I53" s="1184"/>
      <c r="J53" s="1184"/>
      <c r="K53" s="1184"/>
      <c r="L53" s="1227"/>
      <c r="M53" s="1527"/>
      <c r="N53" s="1527"/>
      <c r="O53" s="1552"/>
      <c r="P53" s="294"/>
      <c r="Q53" s="309"/>
      <c r="R53" s="289"/>
      <c r="S53" s="1195"/>
      <c r="T53" s="299" t="s">
        <v>448</v>
      </c>
      <c r="U53" s="534"/>
      <c r="V53" s="534"/>
      <c r="W53" s="534"/>
      <c r="X53" s="534"/>
      <c r="Y53" s="534"/>
      <c r="Z53" s="534"/>
      <c r="AA53" s="534"/>
      <c r="AB53" s="534"/>
      <c r="AC53" s="300"/>
      <c r="AD53" s="534"/>
      <c r="AE53" s="534"/>
      <c r="AF53" s="534"/>
      <c r="AG53" s="534"/>
      <c r="AH53" s="534"/>
      <c r="AI53" s="534"/>
      <c r="AJ53" s="534"/>
      <c r="AK53" s="300"/>
      <c r="AL53" s="534"/>
      <c r="AM53" s="238"/>
      <c r="AO53" s="1541"/>
      <c r="AP53" s="1541" t="str">
        <f t="shared" si="1"/>
        <v>Добавить схему подключения</v>
      </c>
      <c r="AQ53" s="1541"/>
      <c r="AR53" s="1541"/>
      <c r="AS53" s="1548">
        <v>14</v>
      </c>
    </row>
    <row r="54" spans="1:45" s="2017" customFormat="1" ht="4.25" customHeight="1">
      <c r="A54" s="1292" t="s">
        <v>247</v>
      </c>
      <c r="B54" s="1292" t="s">
        <v>248</v>
      </c>
      <c r="C54" s="1292" t="s">
        <v>249</v>
      </c>
      <c r="D54" s="1291"/>
      <c r="E54" s="3224"/>
      <c r="F54" s="3224"/>
      <c r="G54" s="3223"/>
      <c r="H54" s="1291"/>
      <c r="I54" s="1291"/>
      <c r="J54" s="1291"/>
      <c r="K54" s="1291"/>
      <c r="L54" s="1294"/>
      <c r="M54" s="1295"/>
      <c r="N54" s="1295"/>
      <c r="O54" s="285"/>
      <c r="P54" s="1233"/>
      <c r="Q54" s="1234"/>
      <c r="R54" s="1233"/>
      <c r="S54" s="1239"/>
      <c r="T54" s="1242" t="s">
        <v>180</v>
      </c>
      <c r="U54" s="1241"/>
      <c r="V54" s="1241"/>
      <c r="W54" s="1241"/>
      <c r="X54" s="1241"/>
      <c r="Y54" s="1241"/>
      <c r="Z54" s="1241"/>
      <c r="AA54" s="1241"/>
      <c r="AB54" s="1241"/>
      <c r="AC54" s="1241"/>
      <c r="AD54" s="1241"/>
      <c r="AE54" s="1241"/>
      <c r="AF54" s="1241"/>
      <c r="AG54" s="1241"/>
      <c r="AH54" s="1241"/>
      <c r="AI54" s="1241"/>
      <c r="AJ54" s="1241"/>
      <c r="AK54" s="1241"/>
      <c r="AL54" s="1241"/>
      <c r="AM54" s="1241"/>
      <c r="AO54" s="1168"/>
      <c r="AP54" s="1168" t="str">
        <f t="shared" si="1"/>
        <v>Добавить источник для дифференциации</v>
      </c>
      <c r="AQ54" s="1168"/>
      <c r="AR54" s="1168"/>
      <c r="AS54" s="1559">
        <v>4</v>
      </c>
    </row>
    <row r="55" spans="1:45" s="2017" customFormat="1" ht="4.25" customHeight="1">
      <c r="A55" s="1292" t="s">
        <v>247</v>
      </c>
      <c r="B55" s="1292" t="s">
        <v>248</v>
      </c>
      <c r="C55" s="1291"/>
      <c r="D55" s="1291"/>
      <c r="E55" s="3224"/>
      <c r="F55" s="3223"/>
      <c r="G55" s="1291"/>
      <c r="H55" s="1291"/>
      <c r="I55" s="1291"/>
      <c r="J55" s="1291"/>
      <c r="K55" s="1291"/>
      <c r="L55" s="1294"/>
      <c r="M55" s="1296"/>
      <c r="N55" s="1296"/>
      <c r="O55" s="285"/>
      <c r="P55" s="1233"/>
      <c r="Q55" s="1234"/>
      <c r="R55" s="1233"/>
      <c r="S55" s="1239"/>
      <c r="T55" s="1242" t="s">
        <v>181</v>
      </c>
      <c r="U55" s="1241"/>
      <c r="V55" s="1241"/>
      <c r="W55" s="1241"/>
      <c r="X55" s="1241"/>
      <c r="Y55" s="1241"/>
      <c r="Z55" s="1241"/>
      <c r="AA55" s="1241"/>
      <c r="AB55" s="1241"/>
      <c r="AC55" s="1241"/>
      <c r="AD55" s="1241"/>
      <c r="AE55" s="1241"/>
      <c r="AF55" s="1241"/>
      <c r="AG55" s="1241"/>
      <c r="AH55" s="1241"/>
      <c r="AI55" s="1241"/>
      <c r="AJ55" s="1241"/>
      <c r="AK55" s="1241"/>
      <c r="AL55" s="1241"/>
      <c r="AM55" s="1241"/>
      <c r="AO55" s="1168"/>
      <c r="AP55" s="1168" t="str">
        <f t="shared" si="1"/>
        <v>Добавить централизованную систему для дифференциации</v>
      </c>
      <c r="AQ55" s="1168"/>
      <c r="AR55" s="1168"/>
      <c r="AS55" s="1559">
        <v>4</v>
      </c>
    </row>
    <row r="56" spans="1:45" s="2017" customFormat="1" ht="4.25" customHeight="1">
      <c r="A56" s="1292" t="s">
        <v>247</v>
      </c>
      <c r="B56" s="1292"/>
      <c r="C56" s="1292"/>
      <c r="D56" s="1292"/>
      <c r="E56" s="3223"/>
      <c r="F56" s="1292"/>
      <c r="G56" s="1292"/>
      <c r="H56" s="1292"/>
      <c r="I56" s="1292"/>
      <c r="J56" s="1292"/>
      <c r="K56" s="1292"/>
      <c r="L56" s="1298"/>
      <c r="M56" s="1296"/>
      <c r="N56" s="1296"/>
      <c r="O56" s="285"/>
      <c r="P56" s="314"/>
      <c r="Q56" s="1261"/>
      <c r="R56" s="314"/>
      <c r="S56" s="1239"/>
      <c r="T56" s="1242" t="s">
        <v>188</v>
      </c>
      <c r="U56" s="1241"/>
      <c r="V56" s="1241"/>
      <c r="W56" s="1241"/>
      <c r="X56" s="1241"/>
      <c r="Y56" s="1241"/>
      <c r="Z56" s="1241"/>
      <c r="AA56" s="1241"/>
      <c r="AB56" s="1241"/>
      <c r="AC56" s="1241"/>
      <c r="AD56" s="1241"/>
      <c r="AE56" s="1241"/>
      <c r="AF56" s="1241"/>
      <c r="AG56" s="1241"/>
      <c r="AH56" s="1241"/>
      <c r="AI56" s="1241"/>
      <c r="AJ56" s="1241"/>
      <c r="AK56" s="1241"/>
      <c r="AL56" s="1241"/>
      <c r="AM56" s="1241"/>
      <c r="AO56" s="1541"/>
      <c r="AP56" s="1541" t="str">
        <f t="shared" si="1"/>
        <v>Добавить территорию для дифференциации</v>
      </c>
      <c r="AQ56" s="1541"/>
      <c r="AR56" s="1541"/>
      <c r="AS56" s="1553">
        <v>4</v>
      </c>
    </row>
    <row r="57" spans="1:45" s="2017" customFormat="1" ht="4.25" customHeight="1">
      <c r="A57" s="1291"/>
      <c r="B57" s="1291"/>
      <c r="C57" s="1291"/>
      <c r="D57" s="1291"/>
      <c r="E57" s="1292"/>
      <c r="F57" s="1291"/>
      <c r="G57" s="1291"/>
      <c r="H57" s="1291"/>
      <c r="I57" s="1291"/>
      <c r="J57" s="1291"/>
      <c r="K57" s="1291"/>
      <c r="L57" s="1294"/>
      <c r="M57" s="1296"/>
      <c r="N57" s="1296"/>
      <c r="O57" s="285"/>
      <c r="P57" s="1233"/>
      <c r="Q57" s="1234"/>
      <c r="R57" s="1233"/>
      <c r="S57" s="1239"/>
      <c r="T57" s="1242" t="s">
        <v>189</v>
      </c>
      <c r="U57" s="1241"/>
      <c r="V57" s="1241"/>
      <c r="W57" s="1241"/>
      <c r="X57" s="1241"/>
      <c r="Y57" s="1241"/>
      <c r="Z57" s="1241"/>
      <c r="AA57" s="1241"/>
      <c r="AB57" s="1241"/>
      <c r="AC57" s="1241"/>
      <c r="AD57" s="1241"/>
      <c r="AE57" s="1241"/>
      <c r="AF57" s="1241"/>
      <c r="AG57" s="1241"/>
      <c r="AH57" s="1241"/>
      <c r="AI57" s="1241"/>
      <c r="AJ57" s="1241"/>
      <c r="AK57" s="1241"/>
      <c r="AL57" s="1241"/>
      <c r="AM57" s="1241"/>
      <c r="AO57" s="1168"/>
      <c r="AP57" s="1168" t="str">
        <f t="shared" si="1"/>
        <v>Добавить наименование тарифа</v>
      </c>
      <c r="AQ57" s="1168"/>
      <c r="AR57" s="1168"/>
      <c r="AS57" s="1559">
        <v>4</v>
      </c>
    </row>
    <row r="58" spans="1:45" ht="11.5" customHeight="1">
      <c r="M58" s="1548"/>
      <c r="N58" s="1548"/>
      <c r="O58" s="1552"/>
      <c r="P58" s="1548"/>
      <c r="Q58" s="1548"/>
      <c r="R58" s="1548"/>
      <c r="S58" s="1548"/>
      <c r="AN58" s="1548"/>
      <c r="AO58" s="1548"/>
      <c r="AP58" s="1548"/>
      <c r="AQ58" s="1548"/>
      <c r="AR58" s="1548"/>
      <c r="AS58" s="1548">
        <v>11</v>
      </c>
    </row>
    <row r="59" spans="1:45" ht="28.5" customHeight="1">
      <c r="O59" s="1552"/>
      <c r="S59" s="1170"/>
      <c r="T59" s="3219"/>
      <c r="U59" s="3219"/>
      <c r="V59" s="3219"/>
      <c r="W59" s="3219"/>
      <c r="X59" s="3219"/>
      <c r="Y59" s="3219"/>
      <c r="Z59" s="3219"/>
      <c r="AA59" s="3219"/>
      <c r="AB59" s="3219"/>
      <c r="AC59" s="3219"/>
      <c r="AD59" s="3219"/>
      <c r="AE59" s="3219"/>
      <c r="AF59" s="3219"/>
      <c r="AG59" s="3219"/>
      <c r="AH59" s="3219"/>
      <c r="AI59" s="3219"/>
      <c r="AJ59" s="3219"/>
      <c r="AK59" s="3219"/>
      <c r="AL59" s="3219"/>
      <c r="AM59" s="3219"/>
      <c r="AS59" s="1548">
        <v>27</v>
      </c>
    </row>
    <row r="60" spans="1:45" ht="65.25" customHeight="1">
      <c r="O60" s="1552"/>
      <c r="T60" s="3219"/>
      <c r="U60" s="3219"/>
      <c r="V60" s="3219"/>
      <c r="W60" s="3219"/>
      <c r="X60" s="3219"/>
      <c r="Y60" s="3219"/>
      <c r="Z60" s="3219"/>
      <c r="AA60" s="3219"/>
      <c r="AB60" s="3219"/>
      <c r="AC60" s="3219"/>
      <c r="AD60" s="3219"/>
      <c r="AE60" s="3219"/>
      <c r="AF60" s="3219"/>
      <c r="AG60" s="3219"/>
      <c r="AH60" s="3219"/>
      <c r="AI60" s="3219"/>
      <c r="AJ60" s="3219"/>
      <c r="AK60" s="3219"/>
      <c r="AL60" s="3219"/>
      <c r="AM60" s="3219"/>
      <c r="AS60" s="1548">
        <v>62</v>
      </c>
    </row>
    <row r="61" spans="1:45" ht="14.65" customHeight="1">
      <c r="O61" s="1552"/>
      <c r="AS61" s="1548">
        <v>14</v>
      </c>
    </row>
    <row r="62" spans="1:45" ht="18.75" customHeight="1">
      <c r="O62" s="1552"/>
      <c r="S62" s="1170"/>
      <c r="T62" s="3219"/>
      <c r="U62" s="3219"/>
      <c r="V62" s="3219"/>
      <c r="W62" s="3219"/>
      <c r="X62" s="3219"/>
      <c r="Y62" s="3219"/>
      <c r="Z62" s="3219"/>
      <c r="AA62" s="3219"/>
      <c r="AB62" s="3219"/>
      <c r="AC62" s="3219"/>
      <c r="AD62" s="3219"/>
      <c r="AE62" s="3219"/>
      <c r="AF62" s="3219"/>
      <c r="AG62" s="3219"/>
      <c r="AH62" s="3219"/>
      <c r="AI62" s="3219"/>
      <c r="AJ62" s="3219"/>
      <c r="AK62" s="3219"/>
      <c r="AL62" s="3219"/>
      <c r="AM62" s="3219"/>
      <c r="AS62" s="1548">
        <v>18</v>
      </c>
    </row>
    <row r="63" spans="1:45" ht="18.75" customHeight="1">
      <c r="O63" s="1552"/>
      <c r="T63" s="3219"/>
      <c r="U63" s="3219"/>
      <c r="V63" s="3219"/>
      <c r="W63" s="3219"/>
      <c r="X63" s="3219"/>
      <c r="Y63" s="3219"/>
      <c r="Z63" s="3219"/>
      <c r="AA63" s="3219"/>
      <c r="AB63" s="3219"/>
      <c r="AC63" s="3219"/>
      <c r="AD63" s="3219"/>
      <c r="AE63" s="3219"/>
      <c r="AF63" s="3219"/>
      <c r="AG63" s="3219"/>
      <c r="AH63" s="3219"/>
      <c r="AI63" s="3219"/>
      <c r="AJ63" s="3219"/>
      <c r="AK63" s="3219"/>
      <c r="AL63" s="3219"/>
      <c r="AM63" s="3219"/>
      <c r="AS63" s="1548">
        <v>18</v>
      </c>
    </row>
    <row r="64" spans="1:45" ht="29.25" customHeight="1">
      <c r="O64" s="1552"/>
      <c r="S64" s="1170"/>
      <c r="T64" s="3219"/>
      <c r="U64" s="3219"/>
      <c r="V64" s="3219"/>
      <c r="W64" s="3219"/>
      <c r="X64" s="3219"/>
      <c r="Y64" s="3219"/>
      <c r="Z64" s="3219"/>
      <c r="AA64" s="3219"/>
      <c r="AB64" s="3219"/>
      <c r="AC64" s="3219"/>
      <c r="AD64" s="3219"/>
      <c r="AE64" s="3219"/>
      <c r="AF64" s="3219"/>
      <c r="AG64" s="3219"/>
      <c r="AH64" s="3219"/>
      <c r="AI64" s="3219"/>
      <c r="AJ64" s="3219"/>
      <c r="AK64" s="3219"/>
      <c r="AL64" s="3219"/>
      <c r="AM64" s="3219"/>
      <c r="AS64" s="1548">
        <v>28</v>
      </c>
    </row>
    <row r="65" spans="1:45" ht="22.5" hidden="1" customHeight="1">
      <c r="A65" s="1548" t="s">
        <v>83</v>
      </c>
      <c r="B65" s="1548">
        <v>0</v>
      </c>
      <c r="C65" s="1548">
        <v>0</v>
      </c>
      <c r="D65" s="1548">
        <v>0</v>
      </c>
      <c r="E65" s="1548">
        <v>0</v>
      </c>
      <c r="F65" s="1548">
        <v>0</v>
      </c>
      <c r="G65" s="1548">
        <v>0</v>
      </c>
      <c r="H65" s="1548">
        <v>0</v>
      </c>
      <c r="I65" s="1548">
        <v>0</v>
      </c>
      <c r="J65" s="1548">
        <v>0</v>
      </c>
      <c r="K65" s="1548">
        <v>0</v>
      </c>
      <c r="L65" s="1850">
        <v>0</v>
      </c>
      <c r="M65" s="1876">
        <v>0</v>
      </c>
      <c r="N65" s="1876">
        <v>0</v>
      </c>
      <c r="O65" s="1876">
        <v>0</v>
      </c>
      <c r="P65" s="1876">
        <v>3</v>
      </c>
      <c r="Q65" s="279">
        <v>3</v>
      </c>
      <c r="R65" s="279">
        <v>3</v>
      </c>
      <c r="S65" s="515">
        <v>12</v>
      </c>
      <c r="T65" s="1548">
        <v>31</v>
      </c>
      <c r="U65" s="1548">
        <v>0</v>
      </c>
      <c r="V65" s="1548">
        <v>0</v>
      </c>
      <c r="W65" s="1548">
        <v>0</v>
      </c>
      <c r="X65" s="1548">
        <v>0</v>
      </c>
      <c r="Y65" s="1548">
        <v>0</v>
      </c>
      <c r="Z65" s="1548">
        <v>0</v>
      </c>
      <c r="AA65" s="1548">
        <v>0</v>
      </c>
      <c r="AB65" s="1548">
        <v>0</v>
      </c>
      <c r="AC65" s="1548">
        <v>0</v>
      </c>
      <c r="AD65" s="1548">
        <v>24</v>
      </c>
      <c r="AE65" s="1548">
        <v>0</v>
      </c>
      <c r="AF65" s="1548">
        <v>24</v>
      </c>
      <c r="AG65" s="1548">
        <v>24</v>
      </c>
      <c r="AH65" s="1548">
        <v>11</v>
      </c>
      <c r="AI65" s="1548">
        <v>3</v>
      </c>
      <c r="AJ65" s="1548">
        <v>11</v>
      </c>
      <c r="AK65" s="1548">
        <v>0</v>
      </c>
      <c r="AL65" s="1548">
        <v>4</v>
      </c>
      <c r="AM65" s="1548">
        <v>115</v>
      </c>
      <c r="AN65" s="1553">
        <v>10</v>
      </c>
      <c r="AO65" s="1553">
        <v>10</v>
      </c>
      <c r="AP65" s="1553">
        <v>10</v>
      </c>
      <c r="AQ65" s="1553">
        <v>10</v>
      </c>
      <c r="AR65" s="1553">
        <v>10</v>
      </c>
      <c r="AS65" s="1548">
        <v>23</v>
      </c>
    </row>
  </sheetData>
  <sheetProtection insertRows="0" deleteColumns="0" deleteRows="0" sort="0" autoFilter="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C00-000000000000}">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C00-00000100000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C00-000002000000}">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C00-00000300000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C00-000004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C00-000005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xr:uid="{00000000-0002-0000-0C00-000006000000}"/>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C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80D518-8DA5-6827-4FE6-7ABD6890B9FB}">
  <sheetPr>
    <tabColor theme="6" tint="0.39997558519241921"/>
  </sheetPr>
  <dimension ref="A1:AS65"/>
  <sheetViews>
    <sheetView showGridLines="0" topLeftCell="P25" zoomScale="90" workbookViewId="0"/>
  </sheetViews>
  <sheetFormatPr defaultColWidth="10.59765625" defaultRowHeight="14.25" customHeight="1"/>
  <cols>
    <col min="1" max="1" width="10.59765625" style="2004" hidden="1"/>
    <col min="2" max="2" width="11" style="2004" hidden="1" customWidth="1"/>
    <col min="3" max="3" width="10.59765625" style="2004" hidden="1"/>
    <col min="4" max="4" width="11.796875" style="2004" hidden="1" customWidth="1"/>
    <col min="5" max="5" width="10" style="2004" hidden="1" customWidth="1"/>
    <col min="6" max="6" width="8.69921875" style="2004" hidden="1" customWidth="1"/>
    <col min="7" max="7" width="7.59765625" style="2004" hidden="1" customWidth="1"/>
    <col min="8" max="8" width="11.3984375" style="2004" hidden="1" customWidth="1"/>
    <col min="9" max="9" width="12" style="2004" hidden="1" customWidth="1"/>
    <col min="10" max="10" width="9.796875" style="2004" hidden="1" customWidth="1"/>
    <col min="11" max="11" width="11.3984375" style="2004" hidden="1" customWidth="1"/>
    <col min="12" max="12" width="19.09765625" style="2015" hidden="1" customWidth="1"/>
    <col min="13" max="14" width="12.296875" style="2217" hidden="1" customWidth="1"/>
    <col min="15" max="15" width="23.3984375" style="2217" hidden="1" customWidth="1"/>
    <col min="16" max="16" width="3" style="2217" customWidth="1"/>
    <col min="17" max="18" width="3" style="2215" customWidth="1"/>
    <col min="19" max="19" width="12" style="2218" customWidth="1"/>
    <col min="20" max="20" width="31" style="2004" customWidth="1"/>
    <col min="21" max="21" width="9.765625E-2" style="2004" customWidth="1"/>
    <col min="22" max="22" width="24.69921875" style="2004" hidden="1" customWidth="1"/>
    <col min="23" max="23" width="9.765625E-2" style="2004" hidden="1" customWidth="1"/>
    <col min="24" max="25" width="24.69921875" style="2004" hidden="1" customWidth="1"/>
    <col min="26" max="26" width="11.69921875" style="2004" hidden="1" customWidth="1"/>
    <col min="27" max="27" width="3.69921875" style="2004" hidden="1" customWidth="1"/>
    <col min="28" max="28" width="11.69921875" style="2004" hidden="1" customWidth="1"/>
    <col min="29" max="29" width="8.59765625" style="2004" hidden="1" customWidth="1"/>
    <col min="30" max="30" width="24.69921875" style="2004" customWidth="1"/>
    <col min="31" max="31" width="9.765625E-2" style="2004" customWidth="1"/>
    <col min="32" max="33" width="24" style="2004" customWidth="1"/>
    <col min="34" max="34" width="11" style="2004" customWidth="1"/>
    <col min="35" max="35" width="3.69921875" style="2004" customWidth="1"/>
    <col min="36" max="36" width="11" style="2004" customWidth="1"/>
    <col min="37" max="37" width="8.59765625" style="2004" hidden="1" customWidth="1"/>
    <col min="38" max="38" width="4" style="2004" customWidth="1"/>
    <col min="39" max="39" width="115" style="2004" customWidth="1"/>
    <col min="40" max="44" width="10" style="2017" customWidth="1"/>
    <col min="45" max="45" width="10.59765625" style="2004" hidden="1"/>
  </cols>
  <sheetData>
    <row r="1" spans="1:45" ht="22.5" hidden="1" customHeight="1">
      <c r="AS1" s="1548" t="s">
        <v>14</v>
      </c>
    </row>
    <row r="2" spans="1:45" ht="21" hidden="1" customHeight="1">
      <c r="A2" s="1184"/>
      <c r="B2" s="1184"/>
      <c r="C2" s="1184"/>
      <c r="D2" s="1184"/>
      <c r="E2" s="3223">
        <v>1</v>
      </c>
      <c r="F2" s="1184"/>
      <c r="G2" s="1184"/>
      <c r="H2" s="1184"/>
      <c r="I2" s="1184"/>
      <c r="J2" s="1184"/>
      <c r="K2" s="1184"/>
      <c r="L2" s="1227"/>
      <c r="M2" s="1527"/>
      <c r="N2" s="1527"/>
      <c r="O2" s="1527"/>
      <c r="P2" s="1507"/>
      <c r="Q2" s="294"/>
      <c r="R2" s="289"/>
      <c r="S2" s="1869" t="e">
        <f>INDEX(PT_DIFFERENTIATION_NUM_NTAR,MATCH(A2,PT_DIFFERENTIATION_NTAR_ID,0))</f>
        <v>#N/A</v>
      </c>
      <c r="T2" s="1442" t="s">
        <v>137</v>
      </c>
      <c r="U2" s="235"/>
      <c r="V2" s="3185"/>
      <c r="W2" s="3186"/>
      <c r="X2" s="3186"/>
      <c r="Y2" s="3186"/>
      <c r="Z2" s="3186"/>
      <c r="AA2" s="3186"/>
      <c r="AB2" s="3186"/>
      <c r="AC2" s="3187"/>
      <c r="AD2" s="3185" t="e">
        <f>INDEX(PT_DIFFERENTIATION_NTAR,MATCH(A2,PT_DIFFERENTIATION_NTAR_ID,0))</f>
        <v>#N/A</v>
      </c>
      <c r="AE2" s="3186"/>
      <c r="AF2" s="3186"/>
      <c r="AG2" s="3186"/>
      <c r="AH2" s="3186"/>
      <c r="AI2" s="3186"/>
      <c r="AJ2" s="3186"/>
      <c r="AK2" s="3186"/>
      <c r="AL2" s="3187"/>
      <c r="AM2" s="1175" t="s">
        <v>431</v>
      </c>
      <c r="AO2" s="1541"/>
      <c r="AP2" s="1541" t="str">
        <f t="shared" ref="AP2:AP15" si="0">IF(T2="","",T2)</f>
        <v>Наименование тарифа</v>
      </c>
      <c r="AQ2" s="1541"/>
      <c r="AR2" s="1541"/>
      <c r="AS2" s="1548">
        <v>0</v>
      </c>
    </row>
    <row r="3" spans="1:45" ht="21" hidden="1" customHeight="1">
      <c r="A3" s="1184"/>
      <c r="B3" s="1184"/>
      <c r="C3" s="1184"/>
      <c r="D3" s="1184"/>
      <c r="E3" s="3224"/>
      <c r="F3" s="3223">
        <v>1</v>
      </c>
      <c r="G3" s="1184"/>
      <c r="H3" s="1184"/>
      <c r="I3" s="1184"/>
      <c r="J3" s="1184"/>
      <c r="K3" s="1184"/>
      <c r="L3" s="1227"/>
      <c r="M3" s="1527"/>
      <c r="N3" s="1527"/>
      <c r="O3" s="1527"/>
      <c r="P3" s="1851"/>
      <c r="Q3" s="286"/>
      <c r="R3" s="287"/>
      <c r="S3" s="1869" t="e">
        <f>INDEX(PT_DIFFERENTIATION_NUM_TER,MATCH(B3,PT_DIFFERENTIATION_TER_ID,0))</f>
        <v>#N/A</v>
      </c>
      <c r="T3" s="1439" t="s">
        <v>432</v>
      </c>
      <c r="U3" s="235"/>
      <c r="V3" s="3185"/>
      <c r="W3" s="3186"/>
      <c r="X3" s="3186"/>
      <c r="Y3" s="3186"/>
      <c r="Z3" s="3186"/>
      <c r="AA3" s="3186"/>
      <c r="AB3" s="3186"/>
      <c r="AC3" s="3187"/>
      <c r="AD3" s="3185" t="e">
        <f>INDEX(PT_DIFFERENTIATION_TER,MATCH(B3,PT_DIFFERENTIATION_TER_ID,0))</f>
        <v>#N/A</v>
      </c>
      <c r="AE3" s="3186"/>
      <c r="AF3" s="3186"/>
      <c r="AG3" s="3186"/>
      <c r="AH3" s="3186"/>
      <c r="AI3" s="3186"/>
      <c r="AJ3" s="3186"/>
      <c r="AK3" s="3186"/>
      <c r="AL3" s="3187"/>
      <c r="AM3" s="1175" t="s">
        <v>433</v>
      </c>
      <c r="AO3" s="1541"/>
      <c r="AP3" s="1541" t="str">
        <f t="shared" si="0"/>
        <v>Территория действия тарифа</v>
      </c>
      <c r="AQ3" s="1541"/>
      <c r="AR3" s="1541"/>
      <c r="AS3" s="1548">
        <v>0</v>
      </c>
    </row>
    <row r="4" spans="1:45" ht="23.25" hidden="1" customHeight="1">
      <c r="A4" s="1184"/>
      <c r="B4" s="1184"/>
      <c r="C4" s="1184"/>
      <c r="D4" s="1184"/>
      <c r="E4" s="3224"/>
      <c r="F4" s="3224"/>
      <c r="G4" s="3223">
        <v>1</v>
      </c>
      <c r="H4" s="1184"/>
      <c r="I4" s="1184"/>
      <c r="J4" s="1184"/>
      <c r="K4" s="1184"/>
      <c r="L4" s="1227"/>
      <c r="M4" s="1527"/>
      <c r="N4" s="1527"/>
      <c r="O4" s="1527"/>
      <c r="P4" s="288"/>
      <c r="Q4" s="286"/>
      <c r="R4" s="287"/>
      <c r="S4" s="1869" t="e">
        <f>INDEX(PT_DIFFERENTIATION_NUM_CS,MATCH(C4,PT_DIFFERENTIATION_CS_ID,0))</f>
        <v>#N/A</v>
      </c>
      <c r="T4" s="244" t="s">
        <v>434</v>
      </c>
      <c r="U4" s="235"/>
      <c r="V4" s="3185"/>
      <c r="W4" s="3186"/>
      <c r="X4" s="3186"/>
      <c r="Y4" s="3186"/>
      <c r="Z4" s="3186"/>
      <c r="AA4" s="3186"/>
      <c r="AB4" s="3186"/>
      <c r="AC4" s="3187"/>
      <c r="AD4" s="3185" t="e">
        <f>INDEX(PT_DIFFERENTIATION_CS,MATCH(C4,PT_DIFFERENTIATION_CS_ID,0))</f>
        <v>#N/A</v>
      </c>
      <c r="AE4" s="3186"/>
      <c r="AF4" s="3186"/>
      <c r="AG4" s="3186"/>
      <c r="AH4" s="3186"/>
      <c r="AI4" s="3186"/>
      <c r="AJ4" s="3186"/>
      <c r="AK4" s="3186"/>
      <c r="AL4" s="3187"/>
      <c r="AM4" s="1175" t="s">
        <v>435</v>
      </c>
      <c r="AO4" s="1541"/>
      <c r="AP4" s="1541" t="str">
        <f t="shared" si="0"/>
        <v xml:space="preserve">Наименование системы теплоснабжения </v>
      </c>
      <c r="AQ4" s="1541"/>
      <c r="AR4" s="1541"/>
      <c r="AS4" s="1548">
        <v>0</v>
      </c>
    </row>
    <row r="5" spans="1:45" ht="21" hidden="1" customHeight="1">
      <c r="A5" s="1184"/>
      <c r="B5" s="1184"/>
      <c r="C5" s="1184"/>
      <c r="D5" s="1184"/>
      <c r="E5" s="3224"/>
      <c r="F5" s="3224"/>
      <c r="G5" s="3224"/>
      <c r="H5" s="3223">
        <v>1</v>
      </c>
      <c r="I5" s="1184"/>
      <c r="J5" s="1184"/>
      <c r="K5" s="1184"/>
      <c r="L5" s="1227"/>
      <c r="M5" s="1527"/>
      <c r="N5" s="1527"/>
      <c r="O5" s="1527"/>
      <c r="P5" s="288"/>
      <c r="Q5" s="286"/>
      <c r="R5" s="287"/>
      <c r="S5" s="1869" t="e">
        <f>INDEX(PT_DIFFERENTIATION_NUM_IST_TE,MATCH(D5,PT_DIFFERENTIATION_IST_TE_ID,0))</f>
        <v>#N/A</v>
      </c>
      <c r="T5" s="245" t="s">
        <v>436</v>
      </c>
      <c r="U5" s="235"/>
      <c r="V5" s="3185"/>
      <c r="W5" s="3186"/>
      <c r="X5" s="3186"/>
      <c r="Y5" s="3186"/>
      <c r="Z5" s="3186"/>
      <c r="AA5" s="3186"/>
      <c r="AB5" s="3186"/>
      <c r="AC5" s="3187"/>
      <c r="AD5" s="3185" t="e">
        <f>INDEX(PT_DIFFERENTIATION_IST_TE,MATCH(D5,PT_DIFFERENTIATION_IST_TE_ID,0))</f>
        <v>#N/A</v>
      </c>
      <c r="AE5" s="3186"/>
      <c r="AF5" s="3186"/>
      <c r="AG5" s="3186"/>
      <c r="AH5" s="3186"/>
      <c r="AI5" s="3186"/>
      <c r="AJ5" s="3186"/>
      <c r="AK5" s="3186"/>
      <c r="AL5" s="3187"/>
      <c r="AM5" s="1175" t="s">
        <v>437</v>
      </c>
      <c r="AO5" s="1541"/>
      <c r="AP5" s="1541" t="str">
        <f t="shared" si="0"/>
        <v xml:space="preserve">Источник тепловой энергии  </v>
      </c>
      <c r="AQ5" s="1541"/>
      <c r="AR5" s="1541"/>
      <c r="AS5" s="1548">
        <v>0</v>
      </c>
    </row>
    <row r="6" spans="1:45" ht="47.25" hidden="1" customHeight="1">
      <c r="A6" s="1184"/>
      <c r="B6" s="1184"/>
      <c r="C6" s="1184"/>
      <c r="D6" s="1184"/>
      <c r="E6" s="3224"/>
      <c r="F6" s="3224"/>
      <c r="G6" s="3224"/>
      <c r="H6" s="3224"/>
      <c r="I6" s="3067" t="e">
        <f>S5&amp;".1"</f>
        <v>#N/A</v>
      </c>
      <c r="J6" s="1184"/>
      <c r="K6" s="1184"/>
      <c r="L6" s="1227" t="s">
        <v>438</v>
      </c>
      <c r="M6" s="1552"/>
      <c r="P6" s="3198">
        <v>1</v>
      </c>
      <c r="Q6" s="1865"/>
      <c r="R6" s="290"/>
      <c r="S6" s="1869" t="e">
        <f>$I6</f>
        <v>#N/A</v>
      </c>
      <c r="T6" s="220" t="s">
        <v>439</v>
      </c>
      <c r="U6" s="235"/>
      <c r="V6" s="3188"/>
      <c r="W6" s="3189"/>
      <c r="X6" s="3189"/>
      <c r="Y6" s="3189"/>
      <c r="Z6" s="3189"/>
      <c r="AA6" s="3189"/>
      <c r="AB6" s="3189"/>
      <c r="AC6" s="3190"/>
      <c r="AD6" s="3188"/>
      <c r="AE6" s="3189"/>
      <c r="AF6" s="3189"/>
      <c r="AG6" s="3189"/>
      <c r="AH6" s="3189"/>
      <c r="AI6" s="3189"/>
      <c r="AJ6" s="3189"/>
      <c r="AK6" s="3189"/>
      <c r="AL6" s="3190"/>
      <c r="AM6" s="1175" t="s">
        <v>440</v>
      </c>
      <c r="AO6" s="1541"/>
      <c r="AP6" s="1541" t="str">
        <f t="shared" si="0"/>
        <v>Схема подключения теплопотребляющей установки к коллектору источника тепловой энергии</v>
      </c>
      <c r="AQ6" s="1541"/>
      <c r="AR6" s="1541"/>
      <c r="AS6" s="1548">
        <v>0</v>
      </c>
    </row>
    <row r="7" spans="1:45" ht="21" hidden="1" customHeight="1">
      <c r="A7" s="1184"/>
      <c r="B7" s="1184"/>
      <c r="C7" s="1184"/>
      <c r="D7" s="1184"/>
      <c r="E7" s="3224"/>
      <c r="F7" s="3224"/>
      <c r="G7" s="3224"/>
      <c r="H7" s="3224"/>
      <c r="I7" s="3038"/>
      <c r="J7" s="3067" t="e">
        <f>I6&amp;".1"</f>
        <v>#N/A</v>
      </c>
      <c r="K7" s="1184"/>
      <c r="L7" s="1227" t="s">
        <v>441</v>
      </c>
      <c r="M7" s="1552"/>
      <c r="N7" s="1548"/>
      <c r="P7" s="3198"/>
      <c r="Q7" s="3198">
        <v>1</v>
      </c>
      <c r="R7" s="291"/>
      <c r="S7" s="1869" t="e">
        <f>$J7</f>
        <v>#N/A</v>
      </c>
      <c r="T7" s="221" t="s">
        <v>442</v>
      </c>
      <c r="U7" s="235"/>
      <c r="V7" s="3188"/>
      <c r="W7" s="3189"/>
      <c r="X7" s="3189"/>
      <c r="Y7" s="3189"/>
      <c r="Z7" s="3189"/>
      <c r="AA7" s="3189"/>
      <c r="AB7" s="3189"/>
      <c r="AC7" s="3190"/>
      <c r="AD7" s="3188"/>
      <c r="AE7" s="3189"/>
      <c r="AF7" s="3189"/>
      <c r="AG7" s="3189"/>
      <c r="AH7" s="3189"/>
      <c r="AI7" s="3189"/>
      <c r="AJ7" s="3189"/>
      <c r="AK7" s="3189"/>
      <c r="AL7" s="3190"/>
      <c r="AM7" s="1175" t="s">
        <v>443</v>
      </c>
      <c r="AO7" s="1541"/>
      <c r="AP7" s="1541" t="str">
        <f t="shared" si="0"/>
        <v>Группа потребителей</v>
      </c>
      <c r="AQ7" s="1541"/>
      <c r="AR7" s="1541"/>
      <c r="AS7" s="1548">
        <v>0</v>
      </c>
    </row>
    <row r="8" spans="1:45" ht="21" hidden="1" customHeight="1">
      <c r="A8" s="1184"/>
      <c r="B8" s="1184"/>
      <c r="C8" s="1184"/>
      <c r="D8" s="1184"/>
      <c r="E8" s="3224"/>
      <c r="F8" s="3224"/>
      <c r="G8" s="3224"/>
      <c r="H8" s="3224"/>
      <c r="I8" s="3038"/>
      <c r="J8" s="3038"/>
      <c r="K8" s="3067" t="e">
        <f>J7&amp;".1"</f>
        <v>#N/A</v>
      </c>
      <c r="L8" s="1227" t="s">
        <v>444</v>
      </c>
      <c r="M8" s="1552"/>
      <c r="N8" s="1548"/>
      <c r="O8" s="1548"/>
      <c r="P8" s="3198"/>
      <c r="Q8" s="3198"/>
      <c r="R8" s="291">
        <v>1</v>
      </c>
      <c r="S8" s="1869" t="e">
        <f>$K8</f>
        <v>#N/A</v>
      </c>
      <c r="T8" s="1264"/>
      <c r="U8" s="235"/>
      <c r="V8" s="685"/>
      <c r="W8" s="260"/>
      <c r="X8" s="685"/>
      <c r="Y8" s="1174"/>
      <c r="Z8" s="3202"/>
      <c r="AA8" s="3048" t="s">
        <v>67</v>
      </c>
      <c r="AB8" s="3202"/>
      <c r="AC8" s="3048" t="s">
        <v>67</v>
      </c>
      <c r="AD8" s="685"/>
      <c r="AE8" s="260"/>
      <c r="AF8" s="685"/>
      <c r="AG8" s="1174"/>
      <c r="AH8" s="3202"/>
      <c r="AI8" s="3048" t="s">
        <v>67</v>
      </c>
      <c r="AJ8" s="3202"/>
      <c r="AK8" s="3048" t="s">
        <v>67</v>
      </c>
      <c r="AL8" s="260"/>
      <c r="AM8" s="3194" t="s">
        <v>445</v>
      </c>
      <c r="AN8" s="1553" t="e">
        <f ca="1">STRCHECKDATE(V9:AL9)</f>
        <v>#NAME?</v>
      </c>
      <c r="AO8" s="1541"/>
      <c r="AP8" s="1541" t="str">
        <f t="shared" si="0"/>
        <v/>
      </c>
      <c r="AQ8" s="1541"/>
      <c r="AR8" s="1541"/>
      <c r="AS8" s="1548">
        <v>0</v>
      </c>
    </row>
    <row r="9" spans="1:45" ht="0.75" hidden="1" customHeight="1">
      <c r="A9" s="1184"/>
      <c r="B9" s="1184"/>
      <c r="C9" s="1184"/>
      <c r="D9" s="1184"/>
      <c r="E9" s="3224"/>
      <c r="F9" s="3224"/>
      <c r="G9" s="3224"/>
      <c r="H9" s="3224"/>
      <c r="I9" s="3038"/>
      <c r="J9" s="3038"/>
      <c r="K9" s="3067"/>
      <c r="L9" s="1227"/>
      <c r="M9" s="1552"/>
      <c r="N9" s="1548"/>
      <c r="O9" s="1548"/>
      <c r="P9" s="3198"/>
      <c r="Q9" s="3198"/>
      <c r="R9" s="291"/>
      <c r="S9" s="1878"/>
      <c r="T9" s="235"/>
      <c r="U9" s="235"/>
      <c r="V9" s="260"/>
      <c r="W9" s="260"/>
      <c r="X9" s="260"/>
      <c r="Y9" s="263" t="str">
        <f>Z8&amp;"-"&amp;AB8</f>
        <v>-</v>
      </c>
      <c r="Z9" s="3203"/>
      <c r="AA9" s="3048"/>
      <c r="AB9" s="3203"/>
      <c r="AC9" s="3048"/>
      <c r="AD9" s="260"/>
      <c r="AE9" s="260"/>
      <c r="AF9" s="260"/>
      <c r="AG9" s="263" t="str">
        <f>AH8&amp;"-"&amp;AJ8</f>
        <v>-</v>
      </c>
      <c r="AH9" s="3203"/>
      <c r="AI9" s="3048"/>
      <c r="AJ9" s="3203"/>
      <c r="AK9" s="3048"/>
      <c r="AL9" s="260"/>
      <c r="AM9" s="3195"/>
      <c r="AO9" s="1541"/>
      <c r="AP9" s="1541" t="str">
        <f t="shared" si="0"/>
        <v/>
      </c>
      <c r="AQ9" s="1541"/>
      <c r="AR9" s="1541"/>
      <c r="AS9" s="1548">
        <v>0</v>
      </c>
    </row>
    <row r="10" spans="1:45" ht="15" hidden="1" customHeight="1">
      <c r="A10" s="1184"/>
      <c r="B10" s="1184"/>
      <c r="C10" s="1184"/>
      <c r="D10" s="1184"/>
      <c r="E10" s="3224"/>
      <c r="F10" s="3224"/>
      <c r="G10" s="3224"/>
      <c r="H10" s="3224"/>
      <c r="I10" s="3038"/>
      <c r="J10" s="3067"/>
      <c r="K10" s="1184"/>
      <c r="L10" s="1227"/>
      <c r="M10" s="1552"/>
      <c r="N10" s="1548"/>
      <c r="P10" s="3198"/>
      <c r="Q10" s="3198"/>
      <c r="R10" s="290"/>
      <c r="S10" s="1195"/>
      <c r="T10" s="223" t="s">
        <v>446</v>
      </c>
      <c r="U10" s="534"/>
      <c r="V10" s="534"/>
      <c r="W10" s="534"/>
      <c r="X10" s="534"/>
      <c r="Y10" s="534"/>
      <c r="Z10" s="534"/>
      <c r="AA10" s="534"/>
      <c r="AB10" s="534"/>
      <c r="AC10" s="534"/>
      <c r="AD10" s="534"/>
      <c r="AE10" s="534"/>
      <c r="AF10" s="534"/>
      <c r="AG10" s="534"/>
      <c r="AH10" s="534"/>
      <c r="AI10" s="534"/>
      <c r="AJ10" s="534"/>
      <c r="AK10" s="534"/>
      <c r="AL10" s="259"/>
      <c r="AM10" s="3196"/>
      <c r="AO10" s="1541"/>
      <c r="AP10" s="1541" t="str">
        <f t="shared" si="0"/>
        <v>Добавить вид теплоносителя (параметры теплоносителя)</v>
      </c>
      <c r="AQ10" s="1541"/>
      <c r="AR10" s="1541"/>
      <c r="AS10" s="1548">
        <v>0</v>
      </c>
    </row>
    <row r="11" spans="1:45" ht="15" hidden="1" customHeight="1">
      <c r="A11" s="1184"/>
      <c r="B11" s="1184"/>
      <c r="C11" s="1184"/>
      <c r="D11" s="1184"/>
      <c r="E11" s="3224"/>
      <c r="F11" s="3224"/>
      <c r="G11" s="3224"/>
      <c r="H11" s="3224"/>
      <c r="I11" s="3067"/>
      <c r="J11" s="1184"/>
      <c r="K11" s="1184"/>
      <c r="L11" s="1227"/>
      <c r="M11" s="1552"/>
      <c r="P11" s="3198"/>
      <c r="Q11" s="1865"/>
      <c r="R11" s="290"/>
      <c r="S11" s="1195"/>
      <c r="T11" s="222" t="s">
        <v>447</v>
      </c>
      <c r="U11" s="534"/>
      <c r="V11" s="534"/>
      <c r="W11" s="534"/>
      <c r="X11" s="534"/>
      <c r="Y11" s="534"/>
      <c r="Z11" s="534"/>
      <c r="AA11" s="534"/>
      <c r="AB11" s="534"/>
      <c r="AC11" s="300"/>
      <c r="AD11" s="534"/>
      <c r="AE11" s="534"/>
      <c r="AF11" s="534"/>
      <c r="AG11" s="534"/>
      <c r="AH11" s="534"/>
      <c r="AI11" s="534"/>
      <c r="AJ11" s="534"/>
      <c r="AK11" s="300"/>
      <c r="AL11" s="534"/>
      <c r="AM11" s="238"/>
      <c r="AO11" s="1541"/>
      <c r="AP11" s="1541" t="str">
        <f t="shared" si="0"/>
        <v>Добавить группу потребителей</v>
      </c>
      <c r="AQ11" s="1541"/>
      <c r="AR11" s="1541"/>
      <c r="AS11" s="1548">
        <v>0</v>
      </c>
    </row>
    <row r="12" spans="1:45" ht="14.25" hidden="1" customHeight="1">
      <c r="A12" s="1184"/>
      <c r="B12" s="1184"/>
      <c r="C12" s="1184"/>
      <c r="D12" s="1184"/>
      <c r="E12" s="3224"/>
      <c r="F12" s="3224"/>
      <c r="G12" s="3224"/>
      <c r="H12" s="3223"/>
      <c r="I12" s="1184"/>
      <c r="J12" s="1184"/>
      <c r="K12" s="1184"/>
      <c r="L12" s="1227"/>
      <c r="M12" s="1527"/>
      <c r="N12" s="1527"/>
      <c r="O12" s="1552"/>
      <c r="P12" s="294"/>
      <c r="Q12" s="309"/>
      <c r="R12" s="289"/>
      <c r="S12" s="1195"/>
      <c r="T12" s="299" t="s">
        <v>448</v>
      </c>
      <c r="U12" s="534"/>
      <c r="V12" s="534"/>
      <c r="W12" s="534"/>
      <c r="X12" s="534"/>
      <c r="Y12" s="534"/>
      <c r="Z12" s="534"/>
      <c r="AA12" s="534"/>
      <c r="AB12" s="534"/>
      <c r="AC12" s="300"/>
      <c r="AD12" s="534"/>
      <c r="AE12" s="534"/>
      <c r="AF12" s="534"/>
      <c r="AG12" s="534"/>
      <c r="AH12" s="534"/>
      <c r="AI12" s="534"/>
      <c r="AJ12" s="534"/>
      <c r="AK12" s="300"/>
      <c r="AL12" s="534"/>
      <c r="AM12" s="238"/>
      <c r="AO12" s="1541"/>
      <c r="AP12" s="1541" t="str">
        <f t="shared" si="0"/>
        <v>Добавить схему подключения</v>
      </c>
      <c r="AQ12" s="1541"/>
      <c r="AR12" s="1541"/>
      <c r="AS12" s="1548">
        <v>0</v>
      </c>
    </row>
    <row r="13" spans="1:45" s="2017" customFormat="1" ht="0.75" hidden="1" customHeight="1">
      <c r="A13" s="1885"/>
      <c r="B13" s="1885"/>
      <c r="C13" s="1885"/>
      <c r="D13" s="1885"/>
      <c r="E13" s="3224"/>
      <c r="F13" s="3224"/>
      <c r="G13" s="3223"/>
      <c r="H13" s="1885"/>
      <c r="I13" s="1885"/>
      <c r="J13" s="1885"/>
      <c r="K13" s="1885"/>
      <c r="L13" s="1297"/>
      <c r="M13" s="1527"/>
      <c r="N13" s="1527"/>
      <c r="O13" s="1552"/>
      <c r="P13" s="1233"/>
      <c r="Q13" s="1234"/>
      <c r="R13" s="1233"/>
      <c r="S13" s="1235"/>
      <c r="T13" s="1236" t="s">
        <v>180</v>
      </c>
      <c r="U13" s="1237"/>
      <c r="V13" s="1237"/>
      <c r="W13" s="1237"/>
      <c r="X13" s="1237"/>
      <c r="Y13" s="1237"/>
      <c r="Z13" s="1237"/>
      <c r="AA13" s="1237"/>
      <c r="AB13" s="1237"/>
      <c r="AC13" s="1237"/>
      <c r="AD13" s="1237"/>
      <c r="AE13" s="1237"/>
      <c r="AF13" s="1237"/>
      <c r="AG13" s="1237"/>
      <c r="AH13" s="1237"/>
      <c r="AI13" s="1237"/>
      <c r="AJ13" s="1237"/>
      <c r="AK13" s="1237"/>
      <c r="AL13" s="1237"/>
      <c r="AM13" s="1237"/>
      <c r="AO13" s="1168"/>
      <c r="AP13" s="1168" t="str">
        <f t="shared" si="0"/>
        <v>Добавить источник для дифференциации</v>
      </c>
      <c r="AQ13" s="1168"/>
      <c r="AR13" s="1168"/>
      <c r="AS13" s="1559">
        <v>0</v>
      </c>
    </row>
    <row r="14" spans="1:45" s="2017" customFormat="1" ht="0.75" hidden="1" customHeight="1">
      <c r="A14" s="1885"/>
      <c r="B14" s="1885"/>
      <c r="C14" s="1885"/>
      <c r="D14" s="1885"/>
      <c r="E14" s="3224"/>
      <c r="F14" s="3223"/>
      <c r="G14" s="1885"/>
      <c r="H14" s="1885"/>
      <c r="I14" s="1885"/>
      <c r="J14" s="1885"/>
      <c r="K14" s="1885"/>
      <c r="L14" s="1297"/>
      <c r="M14" s="1886"/>
      <c r="N14" s="1886"/>
      <c r="O14" s="1552"/>
      <c r="P14" s="1233"/>
      <c r="Q14" s="1234"/>
      <c r="R14" s="1233"/>
      <c r="S14" s="1239"/>
      <c r="T14" s="1240" t="s">
        <v>181</v>
      </c>
      <c r="U14" s="1241"/>
      <c r="V14" s="1241"/>
      <c r="W14" s="1241"/>
      <c r="X14" s="1241"/>
      <c r="Y14" s="1241"/>
      <c r="Z14" s="1241"/>
      <c r="AA14" s="1241"/>
      <c r="AB14" s="1241"/>
      <c r="AC14" s="1241"/>
      <c r="AD14" s="1241"/>
      <c r="AE14" s="1241"/>
      <c r="AF14" s="1241"/>
      <c r="AG14" s="1241"/>
      <c r="AH14" s="1241"/>
      <c r="AI14" s="1241"/>
      <c r="AJ14" s="1241"/>
      <c r="AK14" s="1241"/>
      <c r="AL14" s="1241"/>
      <c r="AM14" s="1241"/>
      <c r="AO14" s="1168"/>
      <c r="AP14" s="1168" t="str">
        <f t="shared" si="0"/>
        <v>Добавить централизованную систему для дифференциации</v>
      </c>
      <c r="AQ14" s="1168"/>
      <c r="AR14" s="1168"/>
      <c r="AS14" s="1559">
        <v>0</v>
      </c>
    </row>
    <row r="15" spans="1:45" s="2017" customFormat="1" ht="0.75" hidden="1" customHeight="1">
      <c r="A15" s="1885"/>
      <c r="B15" s="1885"/>
      <c r="C15" s="1885"/>
      <c r="D15" s="1885"/>
      <c r="E15" s="3223"/>
      <c r="F15" s="1885"/>
      <c r="G15" s="1885"/>
      <c r="H15" s="1885"/>
      <c r="I15" s="1885"/>
      <c r="J15" s="1885"/>
      <c r="K15" s="1885"/>
      <c r="L15" s="1297"/>
      <c r="M15" s="1886"/>
      <c r="N15" s="1886"/>
      <c r="O15" s="1552"/>
      <c r="P15" s="1233"/>
      <c r="Q15" s="1234"/>
      <c r="R15" s="1233"/>
      <c r="S15" s="1239"/>
      <c r="T15" s="1242" t="s">
        <v>188</v>
      </c>
      <c r="U15" s="1241"/>
      <c r="V15" s="1241"/>
      <c r="W15" s="1241"/>
      <c r="X15" s="1241"/>
      <c r="Y15" s="1241"/>
      <c r="Z15" s="1241"/>
      <c r="AA15" s="1241"/>
      <c r="AB15" s="1241"/>
      <c r="AC15" s="1241"/>
      <c r="AD15" s="1241"/>
      <c r="AE15" s="1241"/>
      <c r="AF15" s="1241"/>
      <c r="AG15" s="1241"/>
      <c r="AH15" s="1241"/>
      <c r="AI15" s="1241"/>
      <c r="AJ15" s="1241"/>
      <c r="AK15" s="1241"/>
      <c r="AL15" s="1241"/>
      <c r="AM15" s="1241"/>
      <c r="AO15" s="1168"/>
      <c r="AP15" s="1168" t="str">
        <f t="shared" si="0"/>
        <v>Добавить территорию для дифференциации</v>
      </c>
      <c r="AQ15" s="1168"/>
      <c r="AR15" s="1168"/>
      <c r="AS15" s="1559">
        <v>0</v>
      </c>
    </row>
    <row r="16" spans="1:45" ht="14.25" hidden="1" customHeight="1">
      <c r="AS16" s="1548">
        <v>0</v>
      </c>
    </row>
    <row r="17" spans="1:45" ht="14.25" hidden="1" customHeight="1">
      <c r="AD17" s="1277"/>
      <c r="AE17" s="1277"/>
      <c r="AF17" s="1277"/>
      <c r="AG17" s="1278"/>
      <c r="AH17" s="3204"/>
      <c r="AI17" s="3205" t="s">
        <v>67</v>
      </c>
      <c r="AJ17" s="3204"/>
      <c r="AK17" s="3205" t="s">
        <v>67</v>
      </c>
      <c r="AS17" s="1548">
        <v>0</v>
      </c>
    </row>
    <row r="18" spans="1:45" ht="14.25" hidden="1" customHeight="1">
      <c r="AD18" s="1277"/>
      <c r="AE18" s="1277"/>
      <c r="AF18" s="1277"/>
      <c r="AG18" s="263" t="str">
        <f>AH17&amp;"-"&amp;AJ17</f>
        <v>-</v>
      </c>
      <c r="AH18" s="3205"/>
      <c r="AI18" s="3205"/>
      <c r="AJ18" s="3205"/>
      <c r="AK18" s="3205"/>
      <c r="AS18" s="1548">
        <v>0</v>
      </c>
    </row>
    <row r="19" spans="1:45" ht="14.25" hidden="1" customHeight="1">
      <c r="AS19" s="1548">
        <v>0</v>
      </c>
    </row>
    <row r="20" spans="1:45" s="2016" customFormat="1" ht="14.25" hidden="1" customHeight="1">
      <c r="A20" s="1548"/>
      <c r="B20" s="1548"/>
      <c r="C20" s="1548"/>
      <c r="D20" s="1548"/>
      <c r="E20" s="1548"/>
      <c r="F20" s="1548"/>
      <c r="G20" s="1548"/>
      <c r="H20" s="1548"/>
      <c r="I20" s="1548"/>
      <c r="J20" s="1548"/>
      <c r="K20" s="1548"/>
      <c r="L20" s="1850"/>
      <c r="M20" s="1876"/>
      <c r="N20" s="1876"/>
      <c r="O20" s="1262" t="s">
        <v>449</v>
      </c>
      <c r="P20" s="1279"/>
      <c r="Q20" s="1288"/>
      <c r="R20" s="1288"/>
      <c r="S20" s="663"/>
      <c r="Z20" s="1284"/>
      <c r="AB20" s="1284"/>
      <c r="AH20" s="1284"/>
      <c r="AJ20" s="1284"/>
      <c r="AN20" s="1553"/>
      <c r="AO20" s="1553"/>
      <c r="AP20" s="1553"/>
      <c r="AQ20" s="1553"/>
      <c r="AR20" s="1553"/>
      <c r="AS20" s="1283">
        <v>0</v>
      </c>
    </row>
    <row r="21" spans="1:45" s="2016" customFormat="1" ht="14.25" hidden="1" customHeight="1">
      <c r="A21" s="1548"/>
      <c r="B21" s="1548"/>
      <c r="C21" s="1548"/>
      <c r="D21" s="1548"/>
      <c r="E21" s="1548"/>
      <c r="F21" s="1548"/>
      <c r="G21" s="1548"/>
      <c r="H21" s="1548"/>
      <c r="I21" s="1548"/>
      <c r="J21" s="1548"/>
      <c r="K21" s="1548"/>
      <c r="L21" s="1850"/>
      <c r="M21" s="1876"/>
      <c r="N21" s="1876"/>
      <c r="O21" s="1876"/>
      <c r="P21" s="1279"/>
      <c r="Q21" s="1288"/>
      <c r="R21" s="1288"/>
      <c r="S21" s="663"/>
      <c r="AN21" s="1553"/>
      <c r="AO21" s="1553"/>
      <c r="AP21" s="1553"/>
      <c r="AQ21" s="1553"/>
      <c r="AR21" s="1553"/>
      <c r="AS21" s="1283">
        <v>0</v>
      </c>
    </row>
    <row r="22" spans="1:45" s="2016" customFormat="1" ht="14.25" hidden="1" customHeight="1">
      <c r="A22" s="1548"/>
      <c r="B22" s="1548"/>
      <c r="C22" s="1548"/>
      <c r="D22" s="1548"/>
      <c r="E22" s="1548"/>
      <c r="F22" s="1548"/>
      <c r="G22" s="1548"/>
      <c r="H22" s="1548"/>
      <c r="I22" s="1548"/>
      <c r="J22" s="1548"/>
      <c r="K22" s="1548"/>
      <c r="L22" s="1850"/>
      <c r="M22" s="1876"/>
      <c r="N22" s="1876"/>
      <c r="O22" s="1227" t="s">
        <v>450</v>
      </c>
      <c r="P22" s="1279"/>
      <c r="Q22" s="1288"/>
      <c r="R22" s="1288"/>
      <c r="S22" s="663"/>
      <c r="T22" s="1283" t="s">
        <v>451</v>
      </c>
      <c r="AA22" s="529" t="s">
        <v>452</v>
      </c>
      <c r="AC22" s="529" t="s">
        <v>453</v>
      </c>
      <c r="AD22" s="1283" t="s">
        <v>451</v>
      </c>
      <c r="AI22" s="529" t="s">
        <v>454</v>
      </c>
      <c r="AK22" s="529" t="s">
        <v>453</v>
      </c>
      <c r="AN22" s="1553"/>
      <c r="AO22" s="1553"/>
      <c r="AP22" s="1553"/>
      <c r="AQ22" s="1553"/>
      <c r="AR22" s="1553"/>
      <c r="AS22" s="1283">
        <v>0</v>
      </c>
    </row>
    <row r="23" spans="1:45" ht="14.25" hidden="1" customHeight="1">
      <c r="O23" s="1227"/>
      <c r="AS23" s="1548">
        <v>0</v>
      </c>
    </row>
    <row r="24" spans="1:45" ht="14.25" hidden="1" customHeight="1">
      <c r="O24" s="1227"/>
      <c r="AS24" s="1548">
        <v>0</v>
      </c>
    </row>
    <row r="25" spans="1:45" ht="14.65" customHeight="1">
      <c r="Q25" s="310"/>
      <c r="R25" s="310"/>
      <c r="S25" s="1192"/>
      <c r="T25" s="391"/>
      <c r="U25" s="391"/>
      <c r="V25" s="1552"/>
      <c r="W25" s="1552"/>
      <c r="X25" s="1552"/>
      <c r="Y25" s="1552"/>
      <c r="Z25" s="1552"/>
      <c r="AA25" s="1552"/>
      <c r="AB25" s="1552"/>
      <c r="AC25" s="1552"/>
      <c r="AD25" s="1552"/>
      <c r="AE25" s="1552"/>
      <c r="AF25" s="1552"/>
      <c r="AG25" s="1552"/>
      <c r="AH25" s="1552"/>
      <c r="AI25" s="1552"/>
      <c r="AJ25" s="1552"/>
      <c r="AK25" s="1552"/>
      <c r="AS25" s="1548">
        <v>14</v>
      </c>
    </row>
    <row r="26" spans="1:45" ht="14.65" customHeight="1">
      <c r="Q26" s="310"/>
      <c r="R26" s="310"/>
      <c r="S26" s="3183"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3183"/>
      <c r="U26" s="3183"/>
      <c r="V26" s="3183"/>
      <c r="W26" s="3183"/>
      <c r="X26" s="3183"/>
      <c r="Y26" s="3183"/>
      <c r="Z26" s="3183"/>
      <c r="AA26" s="3183"/>
      <c r="AB26" s="3183"/>
      <c r="AC26" s="3183"/>
      <c r="AD26" s="3183"/>
      <c r="AE26" s="3183"/>
      <c r="AF26" s="3183"/>
      <c r="AG26" s="3183"/>
      <c r="AH26" s="3183"/>
      <c r="AI26" s="3183"/>
      <c r="AJ26" s="3183"/>
      <c r="AK26" s="1160"/>
      <c r="AS26" s="1548">
        <v>14</v>
      </c>
    </row>
    <row r="27" spans="1:45" ht="14.65" customHeight="1">
      <c r="Q27" s="310"/>
      <c r="R27" s="310"/>
      <c r="S27" s="3131" t="str">
        <f>IF(org=0,"Не определено",org)</f>
        <v>ООО "РСО"</v>
      </c>
      <c r="T27" s="3131"/>
      <c r="U27" s="3131"/>
      <c r="V27" s="3131"/>
      <c r="W27" s="3131"/>
      <c r="X27" s="3131"/>
      <c r="Y27" s="3131"/>
      <c r="Z27" s="3131"/>
      <c r="AA27" s="3131"/>
      <c r="AB27" s="3131"/>
      <c r="AC27" s="3131"/>
      <c r="AD27" s="3131"/>
      <c r="AE27" s="3131"/>
      <c r="AF27" s="3131"/>
      <c r="AG27" s="3131"/>
      <c r="AH27" s="3131"/>
      <c r="AI27" s="3131"/>
      <c r="AJ27" s="3131"/>
      <c r="AK27" s="1160"/>
      <c r="AS27" s="1548">
        <v>14</v>
      </c>
    </row>
    <row r="28" spans="1:45" ht="14.25" hidden="1" customHeight="1">
      <c r="Q28" s="310"/>
      <c r="R28" s="310"/>
      <c r="S28" s="1192"/>
      <c r="T28" s="391"/>
      <c r="U28" s="391"/>
      <c r="V28" s="257"/>
      <c r="W28" s="257"/>
      <c r="X28" s="257"/>
      <c r="Y28" s="257"/>
      <c r="Z28" s="257"/>
      <c r="AA28" s="257"/>
      <c r="AB28" s="257"/>
      <c r="AC28" s="257"/>
      <c r="AD28" s="257"/>
      <c r="AE28" s="257"/>
      <c r="AF28" s="257"/>
      <c r="AG28" s="257"/>
      <c r="AH28" s="257"/>
      <c r="AI28" s="257"/>
      <c r="AJ28" s="257"/>
      <c r="AK28" s="257"/>
      <c r="AL28" s="1552"/>
      <c r="AS28" s="1548">
        <v>0</v>
      </c>
    </row>
    <row r="29" spans="1:45" s="2028" customFormat="1" ht="25.5" hidden="1" customHeight="1">
      <c r="A29" s="1165"/>
      <c r="B29" s="1165"/>
      <c r="C29" s="1165"/>
      <c r="D29" s="1165"/>
      <c r="E29" s="1165"/>
      <c r="F29" s="1165"/>
      <c r="G29" s="1165"/>
      <c r="H29" s="1165"/>
      <c r="I29" s="1165"/>
      <c r="J29" s="1165"/>
      <c r="K29" s="1165"/>
      <c r="L29" s="1297"/>
      <c r="M29" s="1165"/>
      <c r="N29" s="1165"/>
      <c r="O29" s="1165"/>
      <c r="S29" s="3191" t="s">
        <v>42</v>
      </c>
      <c r="T29" s="3191"/>
      <c r="U29" s="1289"/>
      <c r="V29" s="3192" t="str">
        <f>IF(TITLE_NAME_OR_PR_CHANGE="",IF(TITLE_NAME_OR_PR="","",TITLE_NAME_OR_PR),TITLE_NAME_OR_PR_CHANGE)</f>
        <v/>
      </c>
      <c r="W29" s="3192"/>
      <c r="X29" s="3192"/>
      <c r="Y29" s="3192"/>
      <c r="Z29" s="3192"/>
      <c r="AA29" s="3192"/>
      <c r="AB29" s="3192"/>
      <c r="AC29" s="1552"/>
      <c r="AD29" s="3192" t="str">
        <f>IF(TITLE_NAME_OR_PR_CHANGE="",IF(TITLE_NAME_OR_PR="","",TITLE_NAME_OR_PR),TITLE_NAME_OR_PR_CHANGE)</f>
        <v/>
      </c>
      <c r="AE29" s="3192"/>
      <c r="AF29" s="3192"/>
      <c r="AG29" s="3192"/>
      <c r="AH29" s="3192"/>
      <c r="AI29" s="3192"/>
      <c r="AJ29" s="3192"/>
      <c r="AK29" s="1552"/>
      <c r="AL29" s="1552"/>
      <c r="AM29" s="215"/>
      <c r="AN29" s="302"/>
      <c r="AO29" s="302"/>
      <c r="AP29" s="302"/>
      <c r="AQ29" s="302"/>
      <c r="AR29" s="302"/>
      <c r="AS29" s="352">
        <v>0</v>
      </c>
    </row>
    <row r="30" spans="1:45" s="2028" customFormat="1" ht="18.75" hidden="1" customHeight="1">
      <c r="A30" s="1165"/>
      <c r="B30" s="1165"/>
      <c r="C30" s="1165"/>
      <c r="D30" s="1165"/>
      <c r="E30" s="1165"/>
      <c r="F30" s="1165"/>
      <c r="G30" s="1165"/>
      <c r="H30" s="1165"/>
      <c r="I30" s="1165"/>
      <c r="J30" s="1165"/>
      <c r="K30" s="1165"/>
      <c r="L30" s="1297"/>
      <c r="M30" s="1165"/>
      <c r="N30" s="1165"/>
      <c r="O30" s="1165"/>
      <c r="S30" s="3191" t="s">
        <v>455</v>
      </c>
      <c r="T30" s="3191"/>
      <c r="U30" s="1289"/>
      <c r="V30" s="3201">
        <f>IF(TITLE_DATE_PR_CHANGE="",IF(TITLE_DATE_PR="","",TITLE_DATE_PR),TITLE_DATE_PR_CHANGE)</f>
        <v>45408</v>
      </c>
      <c r="W30" s="3201"/>
      <c r="X30" s="3201"/>
      <c r="Y30" s="3201"/>
      <c r="Z30" s="3201"/>
      <c r="AA30" s="3201"/>
      <c r="AB30" s="3201"/>
      <c r="AC30" s="1552"/>
      <c r="AD30" s="3201">
        <f>IF(TITLE_DATE_PR_CHANGE="",IF(TITLE_DATE_PR="","",TITLE_DATE_PR),TITLE_DATE_PR_CHANGE)</f>
        <v>45408</v>
      </c>
      <c r="AE30" s="3201"/>
      <c r="AF30" s="3201"/>
      <c r="AG30" s="3201"/>
      <c r="AH30" s="3201"/>
      <c r="AI30" s="3201"/>
      <c r="AJ30" s="3201"/>
      <c r="AK30" s="1552"/>
      <c r="AL30" s="1552"/>
      <c r="AM30" s="215"/>
      <c r="AN30" s="302"/>
      <c r="AO30" s="302"/>
      <c r="AP30" s="302"/>
      <c r="AQ30" s="302"/>
      <c r="AR30" s="302"/>
      <c r="AS30" s="352">
        <v>0</v>
      </c>
    </row>
    <row r="31" spans="1:45" s="2028" customFormat="1" ht="18.75" hidden="1" customHeight="1">
      <c r="A31" s="1165"/>
      <c r="B31" s="1165"/>
      <c r="C31" s="1165"/>
      <c r="D31" s="1165"/>
      <c r="E31" s="1165"/>
      <c r="F31" s="1165"/>
      <c r="G31" s="1165"/>
      <c r="H31" s="1165"/>
      <c r="I31" s="1165"/>
      <c r="J31" s="1165"/>
      <c r="K31" s="1165"/>
      <c r="L31" s="1297"/>
      <c r="M31" s="1165"/>
      <c r="N31" s="1165"/>
      <c r="O31" s="1165"/>
      <c r="S31" s="3191" t="s">
        <v>456</v>
      </c>
      <c r="T31" s="3191"/>
      <c r="U31" s="1289"/>
      <c r="V31" s="3192" t="str">
        <f>IF(TITLE_NUMBER_PR_CHANGE="",IF(TITLE_NUMBER_PR="","",TITLE_NUMBER_PR),TITLE_NUMBER_PR_CHANGE)</f>
        <v>04-24/132, 04-24/131</v>
      </c>
      <c r="W31" s="3192"/>
      <c r="X31" s="3192"/>
      <c r="Y31" s="3192"/>
      <c r="Z31" s="3192"/>
      <c r="AA31" s="3192"/>
      <c r="AB31" s="3192"/>
      <c r="AC31" s="1552"/>
      <c r="AD31" s="3192" t="str">
        <f>IF(TITLE_NUMBER_PR_CHANGE="",IF(TITLE_NUMBER_PR="","",TITLE_NUMBER_PR),TITLE_NUMBER_PR_CHANGE)</f>
        <v>04-24/132, 04-24/131</v>
      </c>
      <c r="AE31" s="3192"/>
      <c r="AF31" s="3192"/>
      <c r="AG31" s="3192"/>
      <c r="AH31" s="3192"/>
      <c r="AI31" s="3192"/>
      <c r="AJ31" s="3192"/>
      <c r="AK31" s="1552"/>
      <c r="AL31" s="1552"/>
      <c r="AM31" s="215"/>
      <c r="AN31" s="302"/>
      <c r="AO31" s="302"/>
      <c r="AP31" s="302"/>
      <c r="AQ31" s="302"/>
      <c r="AR31" s="302"/>
      <c r="AS31" s="352">
        <v>0</v>
      </c>
    </row>
    <row r="32" spans="1:45" s="2028" customFormat="1" ht="18.75" hidden="1" customHeight="1">
      <c r="A32" s="1165"/>
      <c r="B32" s="1165"/>
      <c r="C32" s="1165"/>
      <c r="D32" s="1165"/>
      <c r="E32" s="1165"/>
      <c r="F32" s="1165"/>
      <c r="G32" s="1165"/>
      <c r="H32" s="1165"/>
      <c r="I32" s="1165"/>
      <c r="J32" s="1165"/>
      <c r="K32" s="1165"/>
      <c r="L32" s="1297"/>
      <c r="M32" s="1165"/>
      <c r="N32" s="1165"/>
      <c r="O32" s="1165"/>
      <c r="S32" s="3191" t="s">
        <v>43</v>
      </c>
      <c r="T32" s="3191"/>
      <c r="U32" s="1289"/>
      <c r="V32" s="3192" t="str">
        <f>IF(TITLE_IST_PUB_CHANGE="",IF(TITLE_IST_PUB="","",TITLE_IST_PUB),TITLE_IST_PUB_CHANGE)</f>
        <v/>
      </c>
      <c r="W32" s="3192"/>
      <c r="X32" s="3192"/>
      <c r="Y32" s="3192"/>
      <c r="Z32" s="3192"/>
      <c r="AA32" s="3192"/>
      <c r="AB32" s="3192"/>
      <c r="AC32" s="1552"/>
      <c r="AD32" s="3192" t="str">
        <f>IF(TITLE_IST_PUB_CHANGE="",IF(TITLE_IST_PUB="","",TITLE_IST_PUB),TITLE_IST_PUB_CHANGE)</f>
        <v/>
      </c>
      <c r="AE32" s="3192"/>
      <c r="AF32" s="3192"/>
      <c r="AG32" s="3192"/>
      <c r="AH32" s="3192"/>
      <c r="AI32" s="3192"/>
      <c r="AJ32" s="3192"/>
      <c r="AK32" s="1552"/>
      <c r="AL32" s="1552"/>
      <c r="AM32" s="215"/>
      <c r="AN32" s="302"/>
      <c r="AO32" s="302"/>
      <c r="AP32" s="302"/>
      <c r="AQ32" s="302"/>
      <c r="AR32" s="302"/>
      <c r="AS32" s="352">
        <v>0</v>
      </c>
    </row>
    <row r="33" spans="1:45" ht="14.25" hidden="1" customHeight="1">
      <c r="Q33" s="310"/>
      <c r="R33" s="310"/>
      <c r="S33" s="1192"/>
      <c r="T33" s="391"/>
      <c r="U33" s="391"/>
      <c r="V33" s="257"/>
      <c r="W33" s="257"/>
      <c r="X33" s="257"/>
      <c r="Y33" s="257"/>
      <c r="Z33" s="257"/>
      <c r="AA33" s="257"/>
      <c r="AB33" s="257"/>
      <c r="AC33" s="257"/>
      <c r="AD33" s="257"/>
      <c r="AE33" s="257"/>
      <c r="AF33" s="257"/>
      <c r="AG33" s="257"/>
      <c r="AH33" s="257"/>
      <c r="AI33" s="257"/>
      <c r="AJ33" s="257"/>
      <c r="AK33" s="257"/>
      <c r="AL33" s="1552"/>
      <c r="AS33" s="1548">
        <v>0</v>
      </c>
    </row>
    <row r="34" spans="1:45" s="2028" customFormat="1" ht="18.75" hidden="1" customHeight="1">
      <c r="A34" s="1165"/>
      <c r="B34" s="1165"/>
      <c r="C34" s="1165"/>
      <c r="D34" s="1165"/>
      <c r="E34" s="1165"/>
      <c r="F34" s="1165"/>
      <c r="G34" s="1165"/>
      <c r="H34" s="1165"/>
      <c r="I34" s="1165"/>
      <c r="J34" s="1165"/>
      <c r="K34" s="1165"/>
      <c r="L34" s="1297"/>
      <c r="M34" s="1165"/>
      <c r="N34" s="1165"/>
      <c r="O34" s="1165"/>
      <c r="S34" s="3191" t="s">
        <v>457</v>
      </c>
      <c r="T34" s="3191"/>
      <c r="U34" s="1289"/>
      <c r="V34" s="3201">
        <f>IF(TITLE_DATE_PR_CHANGE="",IF(TITLE_DATE_PR="","",TITLE_DATE_PR),TITLE_DATE_PR_CHANGE)</f>
        <v>45408</v>
      </c>
      <c r="W34" s="3201"/>
      <c r="X34" s="3201"/>
      <c r="Y34" s="3201"/>
      <c r="Z34" s="3201"/>
      <c r="AA34" s="3201"/>
      <c r="AB34" s="3201"/>
      <c r="AC34" s="1552"/>
      <c r="AD34" s="3201">
        <f>IF(TITLE_DATE_PR_CHANGE="",IF(TITLE_DATE_PR="","",TITLE_DATE_PR),TITLE_DATE_PR_CHANGE)</f>
        <v>45408</v>
      </c>
      <c r="AE34" s="3201"/>
      <c r="AF34" s="3201"/>
      <c r="AG34" s="3201"/>
      <c r="AH34" s="3201"/>
      <c r="AI34" s="3201"/>
      <c r="AJ34" s="3201"/>
      <c r="AK34" s="1552"/>
      <c r="AL34" s="1552"/>
      <c r="AM34" s="215"/>
      <c r="AN34" s="302"/>
      <c r="AO34" s="302"/>
      <c r="AP34" s="302"/>
      <c r="AQ34" s="302"/>
      <c r="AR34" s="302"/>
      <c r="AS34" s="352">
        <v>0</v>
      </c>
    </row>
    <row r="35" spans="1:45" s="2028" customFormat="1" ht="18.75" hidden="1" customHeight="1">
      <c r="A35" s="1165"/>
      <c r="B35" s="1165"/>
      <c r="C35" s="1165"/>
      <c r="D35" s="1165"/>
      <c r="E35" s="1165"/>
      <c r="F35" s="1165"/>
      <c r="G35" s="1165"/>
      <c r="H35" s="1165"/>
      <c r="I35" s="1165"/>
      <c r="J35" s="1165"/>
      <c r="K35" s="1165"/>
      <c r="L35" s="1297"/>
      <c r="M35" s="1165"/>
      <c r="N35" s="1165"/>
      <c r="O35" s="1165"/>
      <c r="S35" s="3191" t="s">
        <v>458</v>
      </c>
      <c r="T35" s="3191"/>
      <c r="U35" s="1289"/>
      <c r="V35" s="3192" t="str">
        <f>IF(TITLE_NUMBER_PR_CHANGE="",IF(TITLE_NUMBER_PR="","",TITLE_NUMBER_PR),TITLE_NUMBER_PR_CHANGE)</f>
        <v>04-24/132, 04-24/131</v>
      </c>
      <c r="W35" s="3192"/>
      <c r="X35" s="3192"/>
      <c r="Y35" s="3192"/>
      <c r="Z35" s="3192"/>
      <c r="AA35" s="3192"/>
      <c r="AB35" s="3192"/>
      <c r="AC35" s="1552"/>
      <c r="AD35" s="3192" t="str">
        <f>IF(TITLE_NUMBER_PR_CHANGE="",IF(TITLE_NUMBER_PR="","",TITLE_NUMBER_PR),TITLE_NUMBER_PR_CHANGE)</f>
        <v>04-24/132, 04-24/131</v>
      </c>
      <c r="AE35" s="3192"/>
      <c r="AF35" s="3192"/>
      <c r="AG35" s="3192"/>
      <c r="AH35" s="3192"/>
      <c r="AI35" s="3192"/>
      <c r="AJ35" s="3192"/>
      <c r="AK35" s="1552"/>
      <c r="AL35" s="1552"/>
      <c r="AM35" s="215"/>
      <c r="AN35" s="302"/>
      <c r="AO35" s="302"/>
      <c r="AP35" s="302"/>
      <c r="AQ35" s="302"/>
      <c r="AR35" s="302"/>
      <c r="AS35" s="352">
        <v>0</v>
      </c>
    </row>
    <row r="36" spans="1:45" s="2028" customFormat="1" ht="0" hidden="1" customHeight="1">
      <c r="A36" s="1165"/>
      <c r="B36" s="1165"/>
      <c r="C36" s="1165"/>
      <c r="D36" s="1165"/>
      <c r="E36" s="1165"/>
      <c r="F36" s="1165"/>
      <c r="G36" s="1165"/>
      <c r="H36" s="1165"/>
      <c r="I36" s="1165"/>
      <c r="J36" s="1165"/>
      <c r="K36" s="1165"/>
      <c r="L36" s="1297"/>
      <c r="M36" s="1165"/>
      <c r="N36" s="1165"/>
      <c r="O36" s="1165"/>
      <c r="S36" s="1552"/>
      <c r="T36" s="1552"/>
      <c r="U36" s="1881"/>
      <c r="V36" s="1552"/>
      <c r="W36" s="1552"/>
      <c r="X36" s="1552"/>
      <c r="Y36" s="1552"/>
      <c r="Z36" s="1552"/>
      <c r="AA36" s="1552"/>
      <c r="AB36" s="1552"/>
      <c r="AC36" s="1559" t="s">
        <v>459</v>
      </c>
      <c r="AD36" s="1552"/>
      <c r="AE36" s="1552"/>
      <c r="AF36" s="1552"/>
      <c r="AG36" s="1552"/>
      <c r="AH36" s="1552"/>
      <c r="AI36" s="1552"/>
      <c r="AJ36" s="1552"/>
      <c r="AK36" s="1559" t="s">
        <v>459</v>
      </c>
      <c r="AN36" s="302"/>
      <c r="AO36" s="302"/>
      <c r="AP36" s="302"/>
      <c r="AQ36" s="302"/>
      <c r="AR36" s="302"/>
      <c r="AS36" s="352">
        <v>0</v>
      </c>
    </row>
    <row r="37" spans="1:45" ht="14.65" customHeight="1">
      <c r="Q37" s="310"/>
      <c r="R37" s="310"/>
      <c r="S37" s="1192"/>
      <c r="T37" s="391"/>
      <c r="U37" s="1161"/>
      <c r="V37" s="3193"/>
      <c r="W37" s="3193"/>
      <c r="X37" s="3193"/>
      <c r="Y37" s="3193"/>
      <c r="Z37" s="3193"/>
      <c r="AA37" s="3193"/>
      <c r="AB37" s="3193"/>
      <c r="AC37" s="3193"/>
      <c r="AD37" s="3193"/>
      <c r="AE37" s="3193"/>
      <c r="AF37" s="3193"/>
      <c r="AG37" s="3193"/>
      <c r="AH37" s="3193"/>
      <c r="AI37" s="3193"/>
      <c r="AJ37" s="3193"/>
      <c r="AK37" s="3193"/>
      <c r="AS37" s="1548">
        <v>14</v>
      </c>
    </row>
    <row r="38" spans="1:45" ht="14.65" customHeight="1">
      <c r="Q38" s="310"/>
      <c r="R38" s="310"/>
      <c r="S38" s="3067" t="s">
        <v>335</v>
      </c>
      <c r="T38" s="3067"/>
      <c r="U38" s="3067"/>
      <c r="V38" s="3067"/>
      <c r="W38" s="3067"/>
      <c r="X38" s="3067"/>
      <c r="Y38" s="3067"/>
      <c r="Z38" s="3067"/>
      <c r="AA38" s="3067"/>
      <c r="AB38" s="3067"/>
      <c r="AC38" s="3067"/>
      <c r="AD38" s="3067"/>
      <c r="AE38" s="3067"/>
      <c r="AF38" s="3067"/>
      <c r="AG38" s="3067"/>
      <c r="AH38" s="3067"/>
      <c r="AI38" s="3067"/>
      <c r="AJ38" s="3067"/>
      <c r="AK38" s="3067"/>
      <c r="AL38" s="3067"/>
      <c r="AM38" s="3067" t="s">
        <v>336</v>
      </c>
      <c r="AS38" s="1548">
        <v>14</v>
      </c>
    </row>
    <row r="39" spans="1:45" ht="14.65" customHeight="1">
      <c r="Q39" s="310"/>
      <c r="R39" s="310"/>
      <c r="S39" s="3207" t="s">
        <v>89</v>
      </c>
      <c r="T39" s="3159" t="s">
        <v>460</v>
      </c>
      <c r="U39" s="272"/>
      <c r="V39" s="3208" t="s">
        <v>461</v>
      </c>
      <c r="W39" s="3209"/>
      <c r="X39" s="3209"/>
      <c r="Y39" s="3209"/>
      <c r="Z39" s="3209"/>
      <c r="AA39" s="3209"/>
      <c r="AB39" s="3210"/>
      <c r="AC39" s="3211" t="s">
        <v>462</v>
      </c>
      <c r="AD39" s="3208" t="s">
        <v>461</v>
      </c>
      <c r="AE39" s="3209"/>
      <c r="AF39" s="3209"/>
      <c r="AG39" s="3209"/>
      <c r="AH39" s="3209"/>
      <c r="AI39" s="3209"/>
      <c r="AJ39" s="3210"/>
      <c r="AK39" s="3211" t="s">
        <v>463</v>
      </c>
      <c r="AL39" s="3214" t="s">
        <v>464</v>
      </c>
      <c r="AM39" s="3067"/>
      <c r="AS39" s="1548">
        <v>14</v>
      </c>
    </row>
    <row r="40" spans="1:45" ht="35.65" customHeight="1">
      <c r="Q40" s="310"/>
      <c r="R40" s="310"/>
      <c r="S40" s="3207"/>
      <c r="T40" s="3159"/>
      <c r="U40" s="952"/>
      <c r="V40" s="3130" t="s">
        <v>465</v>
      </c>
      <c r="W40" s="3217" t="s">
        <v>466</v>
      </c>
      <c r="X40" s="3038" t="s">
        <v>467</v>
      </c>
      <c r="Y40" s="3037"/>
      <c r="Z40" s="3038" t="s">
        <v>480</v>
      </c>
      <c r="AA40" s="3044"/>
      <c r="AB40" s="3037"/>
      <c r="AC40" s="3212"/>
      <c r="AD40" s="3130" t="s">
        <v>465</v>
      </c>
      <c r="AE40" s="3217" t="s">
        <v>466</v>
      </c>
      <c r="AF40" s="3038" t="s">
        <v>467</v>
      </c>
      <c r="AG40" s="3037"/>
      <c r="AH40" s="3038" t="s">
        <v>468</v>
      </c>
      <c r="AI40" s="3044"/>
      <c r="AJ40" s="3037"/>
      <c r="AK40" s="3212"/>
      <c r="AL40" s="3215"/>
      <c r="AM40" s="3067"/>
      <c r="AS40" s="1548">
        <v>34</v>
      </c>
    </row>
    <row r="41" spans="1:45" ht="35.65" customHeight="1">
      <c r="A41" s="1183"/>
      <c r="B41" s="1183" t="s">
        <v>149</v>
      </c>
      <c r="C41" s="1183" t="s">
        <v>150</v>
      </c>
      <c r="D41" s="1183" t="s">
        <v>151</v>
      </c>
      <c r="E41" s="1227" t="s">
        <v>469</v>
      </c>
      <c r="F41" s="1227" t="s">
        <v>470</v>
      </c>
      <c r="G41" s="1227" t="s">
        <v>471</v>
      </c>
      <c r="H41" s="1227" t="s">
        <v>472</v>
      </c>
      <c r="I41" s="1227" t="s">
        <v>473</v>
      </c>
      <c r="J41" s="1227" t="s">
        <v>474</v>
      </c>
      <c r="K41" s="1227" t="s">
        <v>475</v>
      </c>
      <c r="L41" s="1227" t="s">
        <v>450</v>
      </c>
      <c r="Q41" s="310"/>
      <c r="R41" s="310"/>
      <c r="S41" s="3207"/>
      <c r="T41" s="3159"/>
      <c r="U41" s="237"/>
      <c r="V41" s="3178"/>
      <c r="W41" s="3218"/>
      <c r="X41" s="1849" t="s">
        <v>476</v>
      </c>
      <c r="Y41" s="1849" t="s">
        <v>477</v>
      </c>
      <c r="Z41" s="1849" t="s">
        <v>478</v>
      </c>
      <c r="AA41" s="3167" t="s">
        <v>479</v>
      </c>
      <c r="AB41" s="3169"/>
      <c r="AC41" s="3213"/>
      <c r="AD41" s="3178"/>
      <c r="AE41" s="3218"/>
      <c r="AF41" s="1849" t="s">
        <v>476</v>
      </c>
      <c r="AG41" s="1849" t="s">
        <v>477</v>
      </c>
      <c r="AH41" s="1849" t="s">
        <v>478</v>
      </c>
      <c r="AI41" s="3167" t="s">
        <v>479</v>
      </c>
      <c r="AJ41" s="3169"/>
      <c r="AK41" s="3213"/>
      <c r="AL41" s="3216"/>
      <c r="AM41" s="3067"/>
      <c r="AS41" s="1548">
        <v>34</v>
      </c>
    </row>
    <row r="42" spans="1:45" s="2212" customFormat="1" ht="11.25" hidden="1" customHeight="1">
      <c r="A42" s="1183"/>
      <c r="B42" s="1183"/>
      <c r="C42" s="1183"/>
      <c r="D42" s="1183"/>
      <c r="E42" s="1183"/>
      <c r="F42" s="1183"/>
      <c r="G42" s="1183"/>
      <c r="H42" s="1183"/>
      <c r="I42" s="1183"/>
      <c r="J42" s="1183"/>
      <c r="K42" s="1183"/>
      <c r="L42" s="1227"/>
      <c r="M42" s="1876"/>
      <c r="N42" s="1876"/>
      <c r="O42" s="1876"/>
      <c r="P42" s="1163"/>
      <c r="Q42" s="1164"/>
      <c r="R42" s="1171">
        <v>1</v>
      </c>
      <c r="S42" s="1194" t="s">
        <v>124</v>
      </c>
      <c r="T42" s="1172" t="s">
        <v>104</v>
      </c>
      <c r="U42" s="1162" t="str">
        <f ca="1">OFFSET(U42,0,-1)</f>
        <v>2</v>
      </c>
      <c r="V42" s="1867">
        <f ca="1">OFFSET(V42,0,-1)+1</f>
        <v>3</v>
      </c>
      <c r="W42" s="1867"/>
      <c r="X42" s="1867">
        <f ca="1">OFFSET(X42,0,-1)+1</f>
        <v>1</v>
      </c>
      <c r="Y42" s="1867">
        <f ca="1">OFFSET(Y42,0,-1)+1</f>
        <v>2</v>
      </c>
      <c r="Z42" s="1867">
        <f ca="1">OFFSET(Z42,0,-1)+1</f>
        <v>3</v>
      </c>
      <c r="AA42" s="3206">
        <f ca="1">OFFSET(AA42,0,-1)+1</f>
        <v>4</v>
      </c>
      <c r="AB42" s="3206"/>
      <c r="AC42" s="1867">
        <f ca="1">OFFSET(AC42,0,-2)+1</f>
        <v>5</v>
      </c>
      <c r="AD42" s="1867">
        <f ca="1">OFFSET(AD42,0,-1)+1</f>
        <v>6</v>
      </c>
      <c r="AE42" s="1867"/>
      <c r="AF42" s="1867">
        <f ca="1">OFFSET(AF42,0,-1)+1</f>
        <v>1</v>
      </c>
      <c r="AG42" s="1867">
        <f ca="1">OFFSET(AG42,0,-1)+1</f>
        <v>2</v>
      </c>
      <c r="AH42" s="1867">
        <f ca="1">OFFSET(AH42,0,-1)+1</f>
        <v>3</v>
      </c>
      <c r="AI42" s="3206">
        <f ca="1">OFFSET(AI42,0,-1)+1</f>
        <v>4</v>
      </c>
      <c r="AJ42" s="3206"/>
      <c r="AK42" s="1867">
        <f ca="1">OFFSET(AK42,0,-2)+1</f>
        <v>5</v>
      </c>
      <c r="AL42" s="1162">
        <f ca="1">OFFSET(AL42,0,-1)</f>
        <v>5</v>
      </c>
      <c r="AM42" s="1867">
        <f ca="1">OFFSET(AM42,0,-1)+1</f>
        <v>6</v>
      </c>
      <c r="AN42" s="1553"/>
      <c r="AO42" s="1553"/>
      <c r="AP42" s="1553"/>
      <c r="AQ42" s="1553"/>
      <c r="AR42" s="1553"/>
      <c r="AS42" s="1558">
        <v>0</v>
      </c>
    </row>
    <row r="43" spans="1:45" ht="22" customHeight="1">
      <c r="A43" s="1184" t="s">
        <v>247</v>
      </c>
      <c r="B43" s="1184"/>
      <c r="C43" s="1184"/>
      <c r="D43" s="1184"/>
      <c r="E43" s="3223">
        <v>1</v>
      </c>
      <c r="F43" s="1184"/>
      <c r="G43" s="1184"/>
      <c r="H43" s="1184"/>
      <c r="I43" s="1184"/>
      <c r="J43" s="1184"/>
      <c r="K43" s="1184"/>
      <c r="L43" s="1227"/>
      <c r="M43" s="1527"/>
      <c r="N43" s="1527"/>
      <c r="O43" s="1527"/>
      <c r="P43" s="1507"/>
      <c r="Q43" s="294"/>
      <c r="R43" s="289"/>
      <c r="S43" s="1869">
        <f>INDEX(PT_DIFFERENTIATION_NUM_NTAR,MATCH(A43,PT_DIFFERENTIATION_NTAR_ID,0))</f>
        <v>0</v>
      </c>
      <c r="T43" s="1442" t="s">
        <v>137</v>
      </c>
      <c r="U43" s="235"/>
      <c r="V43" s="3185"/>
      <c r="W43" s="3186"/>
      <c r="X43" s="3186"/>
      <c r="Y43" s="3186"/>
      <c r="Z43" s="3186"/>
      <c r="AA43" s="3186"/>
      <c r="AB43" s="3186"/>
      <c r="AC43" s="3187"/>
      <c r="AD43" s="3185" t="str">
        <f>INDEX(PT_DIFFERENTIATION_NTAR,MATCH(A43,PT_DIFFERENTIATION_NTAR_ID,0))</f>
        <v/>
      </c>
      <c r="AE43" s="3186"/>
      <c r="AF43" s="3186"/>
      <c r="AG43" s="3186"/>
      <c r="AH43" s="3186"/>
      <c r="AI43" s="3186"/>
      <c r="AJ43" s="3186"/>
      <c r="AK43" s="3186"/>
      <c r="AL43" s="3187"/>
      <c r="AM43" s="117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541"/>
      <c r="AP43" s="1541" t="str">
        <f t="shared" ref="AP43:AP57" si="1">IF(T43="","",T43)</f>
        <v>Наименование тарифа</v>
      </c>
      <c r="AQ43" s="1541"/>
      <c r="AR43" s="1541"/>
      <c r="AS43" s="1548">
        <v>21</v>
      </c>
    </row>
    <row r="44" spans="1:45" ht="22" customHeight="1">
      <c r="A44" s="1184" t="s">
        <v>247</v>
      </c>
      <c r="B44" s="1184" t="s">
        <v>248</v>
      </c>
      <c r="C44" s="1184"/>
      <c r="D44" s="1184"/>
      <c r="E44" s="3224"/>
      <c r="F44" s="3223">
        <v>1</v>
      </c>
      <c r="G44" s="1184"/>
      <c r="H44" s="1184"/>
      <c r="I44" s="1184"/>
      <c r="J44" s="1184"/>
      <c r="K44" s="1184"/>
      <c r="L44" s="1227"/>
      <c r="M44" s="1527"/>
      <c r="N44" s="1527"/>
      <c r="O44" s="1527"/>
      <c r="P44" s="1851"/>
      <c r="Q44" s="286"/>
      <c r="R44" s="287"/>
      <c r="S44" s="1869" t="str">
        <f>INDEX(PT_DIFFERENTIATION_NUM_TER,MATCH(B44,PT_DIFFERENTIATION_TER_ID,0))</f>
        <v>.</v>
      </c>
      <c r="T44" s="1439" t="s">
        <v>432</v>
      </c>
      <c r="U44" s="235"/>
      <c r="V44" s="3185"/>
      <c r="W44" s="3186"/>
      <c r="X44" s="3186"/>
      <c r="Y44" s="3186"/>
      <c r="Z44" s="3186"/>
      <c r="AA44" s="3186"/>
      <c r="AB44" s="3186"/>
      <c r="AC44" s="3187"/>
      <c r="AD44" s="3185" t="str">
        <f>INDEX(PT_DIFFERENTIATION_TER,MATCH(B44,PT_DIFFERENTIATION_TER_ID,0))</f>
        <v/>
      </c>
      <c r="AE44" s="3186"/>
      <c r="AF44" s="3186"/>
      <c r="AG44" s="3186"/>
      <c r="AH44" s="3186"/>
      <c r="AI44" s="3186"/>
      <c r="AJ44" s="3186"/>
      <c r="AK44" s="3186"/>
      <c r="AL44" s="3187"/>
      <c r="AM44" s="1175" t="s">
        <v>433</v>
      </c>
      <c r="AO44" s="1541"/>
      <c r="AP44" s="1541" t="str">
        <f t="shared" si="1"/>
        <v>Территория действия тарифа</v>
      </c>
      <c r="AQ44" s="1541"/>
      <c r="AR44" s="1541"/>
      <c r="AS44" s="1548">
        <v>21</v>
      </c>
    </row>
    <row r="45" spans="1:45" ht="24" customHeight="1">
      <c r="A45" s="1184" t="s">
        <v>247</v>
      </c>
      <c r="B45" s="1184" t="s">
        <v>248</v>
      </c>
      <c r="C45" s="1184" t="s">
        <v>249</v>
      </c>
      <c r="D45" s="1184"/>
      <c r="E45" s="3224"/>
      <c r="F45" s="3224"/>
      <c r="G45" s="3223">
        <v>1</v>
      </c>
      <c r="H45" s="1184"/>
      <c r="I45" s="1184"/>
      <c r="J45" s="1184"/>
      <c r="K45" s="1184"/>
      <c r="L45" s="1227"/>
      <c r="M45" s="1527"/>
      <c r="N45" s="1527"/>
      <c r="O45" s="1527"/>
      <c r="P45" s="288"/>
      <c r="Q45" s="286"/>
      <c r="R45" s="287"/>
      <c r="S45" s="1869" t="str">
        <f>INDEX(PT_DIFFERENTIATION_NUM_CS,MATCH(C45,PT_DIFFERENTIATION_CS_ID,0))</f>
        <v>..</v>
      </c>
      <c r="T45" s="244" t="s">
        <v>434</v>
      </c>
      <c r="U45" s="235"/>
      <c r="V45" s="3185"/>
      <c r="W45" s="3186"/>
      <c r="X45" s="3186"/>
      <c r="Y45" s="3186"/>
      <c r="Z45" s="3186"/>
      <c r="AA45" s="3186"/>
      <c r="AB45" s="3186"/>
      <c r="AC45" s="3187"/>
      <c r="AD45" s="3185" t="str">
        <f>INDEX(PT_DIFFERENTIATION_CS,MATCH(C45,PT_DIFFERENTIATION_CS_ID,0))</f>
        <v/>
      </c>
      <c r="AE45" s="3186"/>
      <c r="AF45" s="3186"/>
      <c r="AG45" s="3186"/>
      <c r="AH45" s="3186"/>
      <c r="AI45" s="3186"/>
      <c r="AJ45" s="3186"/>
      <c r="AK45" s="3186"/>
      <c r="AL45" s="3187"/>
      <c r="AM45" s="1175" t="s">
        <v>435</v>
      </c>
      <c r="AO45" s="1541"/>
      <c r="AP45" s="1541" t="str">
        <f t="shared" si="1"/>
        <v xml:space="preserve">Наименование системы теплоснабжения </v>
      </c>
      <c r="AQ45" s="1541"/>
      <c r="AR45" s="1541"/>
      <c r="AS45" s="1548">
        <v>23</v>
      </c>
    </row>
    <row r="46" spans="1:45" ht="22" customHeight="1">
      <c r="A46" s="1184" t="s">
        <v>247</v>
      </c>
      <c r="B46" s="1184" t="s">
        <v>248</v>
      </c>
      <c r="C46" s="1184" t="s">
        <v>249</v>
      </c>
      <c r="D46" s="1184" t="s">
        <v>250</v>
      </c>
      <c r="E46" s="3224"/>
      <c r="F46" s="3224"/>
      <c r="G46" s="3224"/>
      <c r="H46" s="3223">
        <v>1</v>
      </c>
      <c r="I46" s="1184"/>
      <c r="J46" s="1184"/>
      <c r="K46" s="1184"/>
      <c r="L46" s="1227"/>
      <c r="M46" s="1527"/>
      <c r="N46" s="1527"/>
      <c r="O46" s="1527"/>
      <c r="P46" s="288"/>
      <c r="Q46" s="286"/>
      <c r="R46" s="287"/>
      <c r="S46" s="1869" t="str">
        <f>INDEX(PT_DIFFERENTIATION_NUM_IST_TE,MATCH(D46,PT_DIFFERENTIATION_IST_TE_ID,0))</f>
        <v>...</v>
      </c>
      <c r="T46" s="245" t="s">
        <v>436</v>
      </c>
      <c r="U46" s="235"/>
      <c r="V46" s="3185"/>
      <c r="W46" s="3186"/>
      <c r="X46" s="3186"/>
      <c r="Y46" s="3186"/>
      <c r="Z46" s="3186"/>
      <c r="AA46" s="3186"/>
      <c r="AB46" s="3186"/>
      <c r="AC46" s="3187"/>
      <c r="AD46" s="3185" t="str">
        <f>INDEX(PT_DIFFERENTIATION_IST_TE,MATCH(D46,PT_DIFFERENTIATION_IST_TE_ID,0))</f>
        <v/>
      </c>
      <c r="AE46" s="3186"/>
      <c r="AF46" s="3186"/>
      <c r="AG46" s="3186"/>
      <c r="AH46" s="3186"/>
      <c r="AI46" s="3186"/>
      <c r="AJ46" s="3186"/>
      <c r="AK46" s="3186"/>
      <c r="AL46" s="3187"/>
      <c r="AM46" s="1175" t="s">
        <v>437</v>
      </c>
      <c r="AO46" s="1541"/>
      <c r="AP46" s="1541" t="str">
        <f t="shared" si="1"/>
        <v xml:space="preserve">Источник тепловой энергии  </v>
      </c>
      <c r="AQ46" s="1541"/>
      <c r="AR46" s="1541"/>
      <c r="AS46" s="1548">
        <v>21</v>
      </c>
    </row>
    <row r="47" spans="1:45" ht="49.5" customHeight="1">
      <c r="A47" s="1184" t="s">
        <v>247</v>
      </c>
      <c r="B47" s="1184" t="s">
        <v>248</v>
      </c>
      <c r="C47" s="1184" t="s">
        <v>249</v>
      </c>
      <c r="D47" s="1184" t="s">
        <v>250</v>
      </c>
      <c r="E47" s="3224"/>
      <c r="F47" s="3224"/>
      <c r="G47" s="3224"/>
      <c r="H47" s="3224"/>
      <c r="I47" s="3067" t="str">
        <f>S46&amp;".1"</f>
        <v>....1</v>
      </c>
      <c r="J47" s="1184"/>
      <c r="K47" s="1184"/>
      <c r="L47" s="1227" t="s">
        <v>438</v>
      </c>
      <c r="P47" s="3198">
        <v>1</v>
      </c>
      <c r="Q47" s="1865"/>
      <c r="R47" s="290"/>
      <c r="S47" s="1869" t="str">
        <f>$I47</f>
        <v>....1</v>
      </c>
      <c r="T47" s="220" t="s">
        <v>439</v>
      </c>
      <c r="U47" s="235"/>
      <c r="V47" s="3188"/>
      <c r="W47" s="3189"/>
      <c r="X47" s="3189"/>
      <c r="Y47" s="3189"/>
      <c r="Z47" s="3189"/>
      <c r="AA47" s="3189"/>
      <c r="AB47" s="3189"/>
      <c r="AC47" s="3190"/>
      <c r="AD47" s="3188"/>
      <c r="AE47" s="3189"/>
      <c r="AF47" s="3189"/>
      <c r="AG47" s="3189"/>
      <c r="AH47" s="3189"/>
      <c r="AI47" s="3189"/>
      <c r="AJ47" s="3189"/>
      <c r="AK47" s="3189"/>
      <c r="AL47" s="3190"/>
      <c r="AM47" s="1175" t="s">
        <v>440</v>
      </c>
      <c r="AO47" s="1541"/>
      <c r="AP47" s="1541" t="str">
        <f t="shared" si="1"/>
        <v>Схема подключения теплопотребляющей установки к коллектору источника тепловой энергии</v>
      </c>
      <c r="AQ47" s="1541"/>
      <c r="AR47" s="1541"/>
      <c r="AS47" s="1548">
        <v>47</v>
      </c>
    </row>
    <row r="48" spans="1:45" ht="22" customHeight="1">
      <c r="A48" s="1184" t="s">
        <v>247</v>
      </c>
      <c r="B48" s="1184" t="s">
        <v>248</v>
      </c>
      <c r="C48" s="1184" t="s">
        <v>249</v>
      </c>
      <c r="D48" s="1184" t="s">
        <v>250</v>
      </c>
      <c r="E48" s="3224"/>
      <c r="F48" s="3224"/>
      <c r="G48" s="3224"/>
      <c r="H48" s="3224"/>
      <c r="I48" s="3038"/>
      <c r="J48" s="3067" t="str">
        <f>I47&amp;".1"</f>
        <v>....1.1</v>
      </c>
      <c r="K48" s="1184"/>
      <c r="L48" s="1227" t="s">
        <v>441</v>
      </c>
      <c r="P48" s="3198"/>
      <c r="Q48" s="3198">
        <v>1</v>
      </c>
      <c r="R48" s="291"/>
      <c r="S48" s="1869" t="str">
        <f>$J48</f>
        <v>....1.1</v>
      </c>
      <c r="T48" s="221" t="s">
        <v>442</v>
      </c>
      <c r="U48" s="235"/>
      <c r="V48" s="3188"/>
      <c r="W48" s="3189"/>
      <c r="X48" s="3189"/>
      <c r="Y48" s="3189"/>
      <c r="Z48" s="3189"/>
      <c r="AA48" s="3189"/>
      <c r="AB48" s="3189"/>
      <c r="AC48" s="3190"/>
      <c r="AD48" s="3188"/>
      <c r="AE48" s="3189"/>
      <c r="AF48" s="3189"/>
      <c r="AG48" s="3189"/>
      <c r="AH48" s="3189"/>
      <c r="AI48" s="3189"/>
      <c r="AJ48" s="3189"/>
      <c r="AK48" s="3189"/>
      <c r="AL48" s="3190"/>
      <c r="AM48" s="1175" t="s">
        <v>443</v>
      </c>
      <c r="AO48" s="1541"/>
      <c r="AP48" s="1541" t="str">
        <f t="shared" si="1"/>
        <v>Группа потребителей</v>
      </c>
      <c r="AQ48" s="1541"/>
      <c r="AR48" s="1541"/>
      <c r="AS48" s="1548">
        <v>21</v>
      </c>
    </row>
    <row r="49" spans="1:45" ht="22" customHeight="1">
      <c r="A49" s="1184" t="s">
        <v>247</v>
      </c>
      <c r="B49" s="1184" t="s">
        <v>248</v>
      </c>
      <c r="C49" s="1184" t="s">
        <v>249</v>
      </c>
      <c r="D49" s="1184" t="s">
        <v>250</v>
      </c>
      <c r="E49" s="3224"/>
      <c r="F49" s="3224"/>
      <c r="G49" s="3224"/>
      <c r="H49" s="3224"/>
      <c r="I49" s="3038"/>
      <c r="J49" s="3038"/>
      <c r="K49" s="3067" t="str">
        <f>J48&amp;".1"</f>
        <v>....1.1.1</v>
      </c>
      <c r="L49" s="1227" t="s">
        <v>444</v>
      </c>
      <c r="P49" s="3198"/>
      <c r="Q49" s="3198"/>
      <c r="R49" s="291">
        <v>1</v>
      </c>
      <c r="S49" s="1869" t="str">
        <f>$K49</f>
        <v>....1.1.1</v>
      </c>
      <c r="T49" s="1264"/>
      <c r="U49" s="235"/>
      <c r="V49" s="685"/>
      <c r="W49" s="260"/>
      <c r="X49" s="685"/>
      <c r="Y49" s="1174"/>
      <c r="Z49" s="3202"/>
      <c r="AA49" s="3048" t="s">
        <v>67</v>
      </c>
      <c r="AB49" s="3202"/>
      <c r="AC49" s="3048" t="s">
        <v>67</v>
      </c>
      <c r="AD49" s="685"/>
      <c r="AE49" s="260"/>
      <c r="AF49" s="685"/>
      <c r="AG49" s="1174"/>
      <c r="AH49" s="3202"/>
      <c r="AI49" s="3048" t="s">
        <v>67</v>
      </c>
      <c r="AJ49" s="3221"/>
      <c r="AK49" s="3048" t="s">
        <v>67</v>
      </c>
      <c r="AL49" s="1265"/>
      <c r="AM49" s="3194" t="s">
        <v>445</v>
      </c>
      <c r="AN49" s="1553" t="e">
        <f ca="1">STRCHECKDATE(V50:AL50)</f>
        <v>#NAME?</v>
      </c>
      <c r="AO49" s="1541"/>
      <c r="AP49" s="1541" t="str">
        <f t="shared" si="1"/>
        <v/>
      </c>
      <c r="AQ49" s="1541"/>
      <c r="AR49" s="1541"/>
      <c r="AS49" s="1548">
        <v>21</v>
      </c>
    </row>
    <row r="50" spans="1:45" ht="1" customHeight="1">
      <c r="A50" s="1184" t="s">
        <v>247</v>
      </c>
      <c r="B50" s="1184" t="s">
        <v>248</v>
      </c>
      <c r="C50" s="1184" t="s">
        <v>249</v>
      </c>
      <c r="D50" s="1184" t="s">
        <v>250</v>
      </c>
      <c r="E50" s="3224"/>
      <c r="F50" s="3224"/>
      <c r="G50" s="3224"/>
      <c r="H50" s="3224"/>
      <c r="I50" s="3038"/>
      <c r="J50" s="3038"/>
      <c r="K50" s="3067"/>
      <c r="L50" s="1227"/>
      <c r="P50" s="3198"/>
      <c r="Q50" s="3198"/>
      <c r="R50" s="291"/>
      <c r="S50" s="1878"/>
      <c r="T50" s="235"/>
      <c r="U50" s="235"/>
      <c r="V50" s="260"/>
      <c r="W50" s="260"/>
      <c r="X50" s="260"/>
      <c r="Y50" s="263" t="str">
        <f>Z49&amp;"-"&amp;AB49</f>
        <v>-</v>
      </c>
      <c r="Z50" s="3203"/>
      <c r="AA50" s="3048"/>
      <c r="AB50" s="3203"/>
      <c r="AC50" s="3048"/>
      <c r="AD50" s="260"/>
      <c r="AE50" s="260"/>
      <c r="AF50" s="260"/>
      <c r="AG50" s="263" t="str">
        <f>AH49&amp;"-"&amp;AJ49</f>
        <v>-</v>
      </c>
      <c r="AH50" s="3203"/>
      <c r="AI50" s="3048"/>
      <c r="AJ50" s="3222"/>
      <c r="AK50" s="3048"/>
      <c r="AL50" s="1266"/>
      <c r="AM50" s="3195"/>
      <c r="AO50" s="1541"/>
      <c r="AP50" s="1541" t="str">
        <f t="shared" si="1"/>
        <v/>
      </c>
      <c r="AQ50" s="1541"/>
      <c r="AR50" s="1541"/>
      <c r="AS50" s="1548">
        <v>1</v>
      </c>
    </row>
    <row r="51" spans="1:45" ht="11.5" customHeight="1">
      <c r="A51" s="1184" t="s">
        <v>247</v>
      </c>
      <c r="B51" s="1184" t="s">
        <v>248</v>
      </c>
      <c r="C51" s="1184" t="s">
        <v>249</v>
      </c>
      <c r="D51" s="1184" t="s">
        <v>250</v>
      </c>
      <c r="E51" s="3224"/>
      <c r="F51" s="3224"/>
      <c r="G51" s="3224"/>
      <c r="H51" s="3224"/>
      <c r="I51" s="3038"/>
      <c r="J51" s="3067"/>
      <c r="K51" s="1184"/>
      <c r="L51" s="1227"/>
      <c r="P51" s="3198"/>
      <c r="Q51" s="3198"/>
      <c r="R51" s="290"/>
      <c r="S51" s="1195"/>
      <c r="T51" s="223" t="s">
        <v>446</v>
      </c>
      <c r="U51" s="534"/>
      <c r="V51" s="534"/>
      <c r="W51" s="534"/>
      <c r="X51" s="534"/>
      <c r="Y51" s="534"/>
      <c r="Z51" s="534"/>
      <c r="AA51" s="534"/>
      <c r="AB51" s="534"/>
      <c r="AC51" s="534"/>
      <c r="AD51" s="534"/>
      <c r="AE51" s="534"/>
      <c r="AF51" s="534"/>
      <c r="AG51" s="534"/>
      <c r="AH51" s="534"/>
      <c r="AI51" s="534"/>
      <c r="AJ51" s="534"/>
      <c r="AK51" s="534"/>
      <c r="AL51" s="259"/>
      <c r="AM51" s="3196"/>
      <c r="AO51" s="1541"/>
      <c r="AP51" s="1541" t="str">
        <f t="shared" si="1"/>
        <v>Добавить вид теплоносителя (параметры теплоносителя)</v>
      </c>
      <c r="AQ51" s="1541"/>
      <c r="AR51" s="1541"/>
      <c r="AS51" s="1548">
        <v>11</v>
      </c>
    </row>
    <row r="52" spans="1:45" ht="11.5" customHeight="1">
      <c r="A52" s="1184" t="s">
        <v>247</v>
      </c>
      <c r="B52" s="1184" t="s">
        <v>248</v>
      </c>
      <c r="C52" s="1184" t="s">
        <v>249</v>
      </c>
      <c r="D52" s="1184" t="s">
        <v>250</v>
      </c>
      <c r="E52" s="3224"/>
      <c r="F52" s="3224"/>
      <c r="G52" s="3224"/>
      <c r="H52" s="3224"/>
      <c r="I52" s="3067"/>
      <c r="J52" s="1184"/>
      <c r="K52" s="1184"/>
      <c r="L52" s="1227"/>
      <c r="P52" s="3198"/>
      <c r="Q52" s="1865"/>
      <c r="R52" s="290"/>
      <c r="S52" s="1195"/>
      <c r="T52" s="222" t="s">
        <v>447</v>
      </c>
      <c r="U52" s="534"/>
      <c r="V52" s="534"/>
      <c r="W52" s="534"/>
      <c r="X52" s="534"/>
      <c r="Y52" s="534"/>
      <c r="Z52" s="534"/>
      <c r="AA52" s="534"/>
      <c r="AB52" s="534"/>
      <c r="AC52" s="300"/>
      <c r="AD52" s="534"/>
      <c r="AE52" s="534"/>
      <c r="AF52" s="534"/>
      <c r="AG52" s="534"/>
      <c r="AH52" s="534"/>
      <c r="AI52" s="534"/>
      <c r="AJ52" s="534"/>
      <c r="AK52" s="300"/>
      <c r="AL52" s="534"/>
      <c r="AM52" s="238"/>
      <c r="AO52" s="1541"/>
      <c r="AP52" s="1541" t="str">
        <f t="shared" si="1"/>
        <v>Добавить группу потребителей</v>
      </c>
      <c r="AQ52" s="1541"/>
      <c r="AR52" s="1541"/>
      <c r="AS52" s="1548">
        <v>11</v>
      </c>
    </row>
    <row r="53" spans="1:45" ht="14.65" customHeight="1">
      <c r="A53" s="1184" t="s">
        <v>247</v>
      </c>
      <c r="B53" s="1184" t="s">
        <v>248</v>
      </c>
      <c r="C53" s="1184" t="s">
        <v>249</v>
      </c>
      <c r="D53" s="1184" t="s">
        <v>250</v>
      </c>
      <c r="E53" s="3224"/>
      <c r="F53" s="3224"/>
      <c r="G53" s="3224"/>
      <c r="H53" s="3223"/>
      <c r="I53" s="1184"/>
      <c r="J53" s="1184"/>
      <c r="K53" s="1184"/>
      <c r="L53" s="1227"/>
      <c r="M53" s="1527"/>
      <c r="N53" s="1527"/>
      <c r="O53" s="1552"/>
      <c r="P53" s="294"/>
      <c r="Q53" s="309"/>
      <c r="R53" s="289"/>
      <c r="S53" s="1195"/>
      <c r="T53" s="299" t="s">
        <v>448</v>
      </c>
      <c r="U53" s="534"/>
      <c r="V53" s="534"/>
      <c r="W53" s="534"/>
      <c r="X53" s="534"/>
      <c r="Y53" s="534"/>
      <c r="Z53" s="534"/>
      <c r="AA53" s="534"/>
      <c r="AB53" s="534"/>
      <c r="AC53" s="300"/>
      <c r="AD53" s="534"/>
      <c r="AE53" s="534"/>
      <c r="AF53" s="534"/>
      <c r="AG53" s="534"/>
      <c r="AH53" s="534"/>
      <c r="AI53" s="534"/>
      <c r="AJ53" s="534"/>
      <c r="AK53" s="300"/>
      <c r="AL53" s="534"/>
      <c r="AM53" s="238"/>
      <c r="AO53" s="1541"/>
      <c r="AP53" s="1541" t="str">
        <f t="shared" si="1"/>
        <v>Добавить схему подключения</v>
      </c>
      <c r="AQ53" s="1541"/>
      <c r="AR53" s="1541"/>
      <c r="AS53" s="1548">
        <v>14</v>
      </c>
    </row>
    <row r="54" spans="1:45" s="2017" customFormat="1" ht="1" customHeight="1">
      <c r="A54" s="1184" t="s">
        <v>247</v>
      </c>
      <c r="B54" s="1184" t="s">
        <v>248</v>
      </c>
      <c r="C54" s="1184" t="s">
        <v>249</v>
      </c>
      <c r="D54" s="1885"/>
      <c r="E54" s="3224"/>
      <c r="F54" s="3224"/>
      <c r="G54" s="3223"/>
      <c r="H54" s="1885"/>
      <c r="I54" s="1885"/>
      <c r="J54" s="1885"/>
      <c r="K54" s="1885"/>
      <c r="L54" s="1297"/>
      <c r="M54" s="1527"/>
      <c r="N54" s="1527"/>
      <c r="O54" s="1552"/>
      <c r="P54" s="1233"/>
      <c r="Q54" s="1234"/>
      <c r="R54" s="1233"/>
      <c r="S54" s="1239"/>
      <c r="T54" s="1242" t="s">
        <v>180</v>
      </c>
      <c r="U54" s="1241"/>
      <c r="V54" s="1241"/>
      <c r="W54" s="1241"/>
      <c r="X54" s="1241"/>
      <c r="Y54" s="1241"/>
      <c r="Z54" s="1241"/>
      <c r="AA54" s="1241"/>
      <c r="AB54" s="1241"/>
      <c r="AC54" s="1241"/>
      <c r="AD54" s="1241"/>
      <c r="AE54" s="1241"/>
      <c r="AF54" s="1241"/>
      <c r="AG54" s="1241"/>
      <c r="AH54" s="1241"/>
      <c r="AI54" s="1241"/>
      <c r="AJ54" s="1241"/>
      <c r="AK54" s="1241"/>
      <c r="AL54" s="1241"/>
      <c r="AM54" s="1241"/>
      <c r="AO54" s="1168"/>
      <c r="AP54" s="1168" t="str">
        <f t="shared" si="1"/>
        <v>Добавить источник для дифференциации</v>
      </c>
      <c r="AQ54" s="1168"/>
      <c r="AR54" s="1168"/>
      <c r="AS54" s="1559">
        <v>1</v>
      </c>
    </row>
    <row r="55" spans="1:45" s="2017" customFormat="1" ht="1" customHeight="1">
      <c r="A55" s="1184" t="s">
        <v>247</v>
      </c>
      <c r="B55" s="1184" t="s">
        <v>248</v>
      </c>
      <c r="C55" s="1885"/>
      <c r="D55" s="1885"/>
      <c r="E55" s="3224"/>
      <c r="F55" s="3223"/>
      <c r="G55" s="1885"/>
      <c r="H55" s="1885"/>
      <c r="I55" s="1885"/>
      <c r="J55" s="1885"/>
      <c r="K55" s="1885"/>
      <c r="L55" s="1297"/>
      <c r="M55" s="1886"/>
      <c r="N55" s="1886"/>
      <c r="O55" s="1552"/>
      <c r="P55" s="1233"/>
      <c r="Q55" s="1234"/>
      <c r="R55" s="1233"/>
      <c r="S55" s="1239"/>
      <c r="T55" s="1242" t="s">
        <v>181</v>
      </c>
      <c r="U55" s="1241"/>
      <c r="V55" s="1241"/>
      <c r="W55" s="1241"/>
      <c r="X55" s="1241"/>
      <c r="Y55" s="1241"/>
      <c r="Z55" s="1241"/>
      <c r="AA55" s="1241"/>
      <c r="AB55" s="1241"/>
      <c r="AC55" s="1241"/>
      <c r="AD55" s="1241"/>
      <c r="AE55" s="1241"/>
      <c r="AF55" s="1241"/>
      <c r="AG55" s="1241"/>
      <c r="AH55" s="1241"/>
      <c r="AI55" s="1241"/>
      <c r="AJ55" s="1241"/>
      <c r="AK55" s="1241"/>
      <c r="AL55" s="1241"/>
      <c r="AM55" s="1241"/>
      <c r="AO55" s="1168"/>
      <c r="AP55" s="1168" t="str">
        <f t="shared" si="1"/>
        <v>Добавить централизованную систему для дифференциации</v>
      </c>
      <c r="AQ55" s="1168"/>
      <c r="AR55" s="1168"/>
      <c r="AS55" s="1559">
        <v>1</v>
      </c>
    </row>
    <row r="56" spans="1:45" s="2017" customFormat="1" ht="1" customHeight="1">
      <c r="A56" s="1184" t="s">
        <v>247</v>
      </c>
      <c r="B56" s="1184"/>
      <c r="C56" s="1184"/>
      <c r="D56" s="1184"/>
      <c r="E56" s="3223"/>
      <c r="F56" s="1184"/>
      <c r="G56" s="1184"/>
      <c r="H56" s="1184"/>
      <c r="I56" s="1184"/>
      <c r="J56" s="1184"/>
      <c r="K56" s="1184"/>
      <c r="L56" s="1227"/>
      <c r="M56" s="1886"/>
      <c r="N56" s="1886"/>
      <c r="O56" s="1552"/>
      <c r="P56" s="314"/>
      <c r="Q56" s="1261"/>
      <c r="R56" s="314"/>
      <c r="S56" s="1239"/>
      <c r="T56" s="1242" t="s">
        <v>188</v>
      </c>
      <c r="U56" s="1241"/>
      <c r="V56" s="1241"/>
      <c r="W56" s="1241"/>
      <c r="X56" s="1241"/>
      <c r="Y56" s="1241"/>
      <c r="Z56" s="1241"/>
      <c r="AA56" s="1241"/>
      <c r="AB56" s="1241"/>
      <c r="AC56" s="1241"/>
      <c r="AD56" s="1241"/>
      <c r="AE56" s="1241"/>
      <c r="AF56" s="1241"/>
      <c r="AG56" s="1241"/>
      <c r="AH56" s="1241"/>
      <c r="AI56" s="1241"/>
      <c r="AJ56" s="1241"/>
      <c r="AK56" s="1241"/>
      <c r="AL56" s="1241"/>
      <c r="AM56" s="1241"/>
      <c r="AO56" s="1541"/>
      <c r="AP56" s="1541" t="str">
        <f t="shared" si="1"/>
        <v>Добавить территорию для дифференциации</v>
      </c>
      <c r="AQ56" s="1541"/>
      <c r="AR56" s="1541"/>
      <c r="AS56" s="1553">
        <v>1</v>
      </c>
    </row>
    <row r="57" spans="1:45" s="2017" customFormat="1" ht="1" customHeight="1">
      <c r="A57" s="1885"/>
      <c r="B57" s="1885"/>
      <c r="C57" s="1885"/>
      <c r="D57" s="1885"/>
      <c r="E57" s="1184"/>
      <c r="F57" s="1885"/>
      <c r="G57" s="1885"/>
      <c r="H57" s="1885"/>
      <c r="I57" s="1885"/>
      <c r="J57" s="1885"/>
      <c r="K57" s="1885"/>
      <c r="L57" s="1297"/>
      <c r="M57" s="1886"/>
      <c r="N57" s="1886"/>
      <c r="O57" s="1552"/>
      <c r="P57" s="1233"/>
      <c r="Q57" s="1234"/>
      <c r="R57" s="1233"/>
      <c r="S57" s="1239"/>
      <c r="T57" s="1242" t="s">
        <v>189</v>
      </c>
      <c r="U57" s="1241"/>
      <c r="V57" s="1241"/>
      <c r="W57" s="1241"/>
      <c r="X57" s="1241"/>
      <c r="Y57" s="1241"/>
      <c r="Z57" s="1241"/>
      <c r="AA57" s="1241"/>
      <c r="AB57" s="1241"/>
      <c r="AC57" s="1241"/>
      <c r="AD57" s="1241"/>
      <c r="AE57" s="1241"/>
      <c r="AF57" s="1241"/>
      <c r="AG57" s="1241"/>
      <c r="AH57" s="1241"/>
      <c r="AI57" s="1241"/>
      <c r="AJ57" s="1241"/>
      <c r="AK57" s="1241"/>
      <c r="AL57" s="1241"/>
      <c r="AM57" s="1241"/>
      <c r="AO57" s="1168"/>
      <c r="AP57" s="1168" t="str">
        <f t="shared" si="1"/>
        <v>Добавить наименование тарифа</v>
      </c>
      <c r="AQ57" s="1168"/>
      <c r="AR57" s="1168"/>
      <c r="AS57" s="1559">
        <v>1</v>
      </c>
    </row>
    <row r="58" spans="1:45" ht="11.5" customHeight="1">
      <c r="M58" s="1548"/>
      <c r="N58" s="1548"/>
      <c r="O58" s="1552"/>
      <c r="P58" s="1548"/>
      <c r="Q58" s="1548"/>
      <c r="R58" s="1548"/>
      <c r="S58" s="1548"/>
      <c r="AN58" s="1548"/>
      <c r="AO58" s="1548"/>
      <c r="AP58" s="1548"/>
      <c r="AQ58" s="1548"/>
      <c r="AR58" s="1548"/>
      <c r="AS58" s="1548">
        <v>11</v>
      </c>
    </row>
    <row r="59" spans="1:45" ht="28.5" customHeight="1">
      <c r="O59" s="1552"/>
      <c r="S59" s="1170"/>
      <c r="T59" s="3219"/>
      <c r="U59" s="3219"/>
      <c r="V59" s="3219"/>
      <c r="W59" s="3219"/>
      <c r="X59" s="3219"/>
      <c r="Y59" s="3219"/>
      <c r="Z59" s="3219"/>
      <c r="AA59" s="3219"/>
      <c r="AB59" s="3219"/>
      <c r="AC59" s="3219"/>
      <c r="AD59" s="3219"/>
      <c r="AE59" s="3219"/>
      <c r="AF59" s="3219"/>
      <c r="AG59" s="3219"/>
      <c r="AH59" s="3219"/>
      <c r="AI59" s="3219"/>
      <c r="AJ59" s="3219"/>
      <c r="AK59" s="3219"/>
      <c r="AL59" s="3219"/>
      <c r="AM59" s="3219"/>
      <c r="AS59" s="1548">
        <v>27</v>
      </c>
    </row>
    <row r="60" spans="1:45" ht="65.25" customHeight="1">
      <c r="O60" s="1552"/>
      <c r="T60" s="3219"/>
      <c r="U60" s="3219"/>
      <c r="V60" s="3219"/>
      <c r="W60" s="3219"/>
      <c r="X60" s="3219"/>
      <c r="Y60" s="3219"/>
      <c r="Z60" s="3219"/>
      <c r="AA60" s="3219"/>
      <c r="AB60" s="3219"/>
      <c r="AC60" s="3219"/>
      <c r="AD60" s="3219"/>
      <c r="AE60" s="3219"/>
      <c r="AF60" s="3219"/>
      <c r="AG60" s="3219"/>
      <c r="AH60" s="3219"/>
      <c r="AI60" s="3219"/>
      <c r="AJ60" s="3219"/>
      <c r="AK60" s="3219"/>
      <c r="AL60" s="3219"/>
      <c r="AM60" s="3219"/>
      <c r="AS60" s="1548">
        <v>62</v>
      </c>
    </row>
    <row r="61" spans="1:45" ht="14.65" customHeight="1">
      <c r="O61" s="1552"/>
      <c r="AS61" s="1548">
        <v>14</v>
      </c>
    </row>
    <row r="62" spans="1:45" ht="18.75" customHeight="1">
      <c r="O62" s="1552"/>
      <c r="S62" s="1170"/>
      <c r="T62" s="3219"/>
      <c r="U62" s="3219"/>
      <c r="V62" s="3219"/>
      <c r="W62" s="3219"/>
      <c r="X62" s="3219"/>
      <c r="Y62" s="3219"/>
      <c r="Z62" s="3219"/>
      <c r="AA62" s="3219"/>
      <c r="AB62" s="3219"/>
      <c r="AC62" s="3219"/>
      <c r="AD62" s="3219"/>
      <c r="AE62" s="3219"/>
      <c r="AF62" s="3219"/>
      <c r="AG62" s="3219"/>
      <c r="AH62" s="3219"/>
      <c r="AI62" s="3219"/>
      <c r="AJ62" s="3219"/>
      <c r="AK62" s="3219"/>
      <c r="AL62" s="3219"/>
      <c r="AM62" s="3219"/>
      <c r="AS62" s="1548">
        <v>18</v>
      </c>
    </row>
    <row r="63" spans="1:45" ht="18.75" customHeight="1">
      <c r="O63" s="1552"/>
      <c r="T63" s="3219"/>
      <c r="U63" s="3219"/>
      <c r="V63" s="3219"/>
      <c r="W63" s="3219"/>
      <c r="X63" s="3219"/>
      <c r="Y63" s="3219"/>
      <c r="Z63" s="3219"/>
      <c r="AA63" s="3219"/>
      <c r="AB63" s="3219"/>
      <c r="AC63" s="3219"/>
      <c r="AD63" s="3219"/>
      <c r="AE63" s="3219"/>
      <c r="AF63" s="3219"/>
      <c r="AG63" s="3219"/>
      <c r="AH63" s="3219"/>
      <c r="AI63" s="3219"/>
      <c r="AJ63" s="3219"/>
      <c r="AK63" s="3219"/>
      <c r="AL63" s="3219"/>
      <c r="AM63" s="3219"/>
      <c r="AS63" s="1548">
        <v>18</v>
      </c>
    </row>
    <row r="64" spans="1:45" ht="29.25" customHeight="1">
      <c r="O64" s="1552"/>
      <c r="S64" s="1170"/>
      <c r="T64" s="3219"/>
      <c r="U64" s="3219"/>
      <c r="V64" s="3219"/>
      <c r="W64" s="3219"/>
      <c r="X64" s="3219"/>
      <c r="Y64" s="3219"/>
      <c r="Z64" s="3219"/>
      <c r="AA64" s="3219"/>
      <c r="AB64" s="3219"/>
      <c r="AC64" s="3219"/>
      <c r="AD64" s="3219"/>
      <c r="AE64" s="3219"/>
      <c r="AF64" s="3219"/>
      <c r="AG64" s="3219"/>
      <c r="AH64" s="3219"/>
      <c r="AI64" s="3219"/>
      <c r="AJ64" s="3219"/>
      <c r="AK64" s="3219"/>
      <c r="AL64" s="3219"/>
      <c r="AM64" s="3219"/>
      <c r="AS64" s="1548">
        <v>28</v>
      </c>
    </row>
    <row r="65" spans="1:45" ht="22.5" hidden="1" customHeight="1">
      <c r="A65" s="1548" t="s">
        <v>83</v>
      </c>
      <c r="B65" s="1548">
        <v>0</v>
      </c>
      <c r="C65" s="1548">
        <v>0</v>
      </c>
      <c r="D65" s="1548">
        <v>0</v>
      </c>
      <c r="E65" s="1548">
        <v>0</v>
      </c>
      <c r="F65" s="1548">
        <v>0</v>
      </c>
      <c r="G65" s="1548">
        <v>0</v>
      </c>
      <c r="H65" s="1548">
        <v>0</v>
      </c>
      <c r="I65" s="1548">
        <v>0</v>
      </c>
      <c r="J65" s="1548">
        <v>0</v>
      </c>
      <c r="K65" s="1548">
        <v>0</v>
      </c>
      <c r="L65" s="1850">
        <v>0</v>
      </c>
      <c r="M65" s="1876">
        <v>0</v>
      </c>
      <c r="N65" s="1876">
        <v>0</v>
      </c>
      <c r="O65" s="1876">
        <v>0</v>
      </c>
      <c r="P65" s="1876">
        <v>3</v>
      </c>
      <c r="Q65" s="279">
        <v>3</v>
      </c>
      <c r="R65" s="279">
        <v>3</v>
      </c>
      <c r="S65" s="515">
        <v>12</v>
      </c>
      <c r="T65" s="1548">
        <v>31</v>
      </c>
      <c r="U65" s="1548">
        <v>0</v>
      </c>
      <c r="V65" s="1548">
        <v>0</v>
      </c>
      <c r="W65" s="1548">
        <v>0</v>
      </c>
      <c r="X65" s="1548">
        <v>0</v>
      </c>
      <c r="Y65" s="1548">
        <v>0</v>
      </c>
      <c r="Z65" s="1548">
        <v>0</v>
      </c>
      <c r="AA65" s="1548">
        <v>0</v>
      </c>
      <c r="AB65" s="1548">
        <v>0</v>
      </c>
      <c r="AC65" s="1548">
        <v>0</v>
      </c>
      <c r="AD65" s="1548">
        <v>24</v>
      </c>
      <c r="AE65" s="1548">
        <v>0</v>
      </c>
      <c r="AF65" s="1548">
        <v>24</v>
      </c>
      <c r="AG65" s="1548">
        <v>24</v>
      </c>
      <c r="AH65" s="1548">
        <v>11</v>
      </c>
      <c r="AI65" s="1548">
        <v>3</v>
      </c>
      <c r="AJ65" s="1548">
        <v>11</v>
      </c>
      <c r="AK65" s="1548">
        <v>0</v>
      </c>
      <c r="AL65" s="1548">
        <v>4</v>
      </c>
      <c r="AM65" s="1548">
        <v>115</v>
      </c>
      <c r="AN65" s="1553">
        <v>10</v>
      </c>
      <c r="AO65" s="1553">
        <v>10</v>
      </c>
      <c r="AP65" s="1553">
        <v>10</v>
      </c>
      <c r="AQ65" s="1553">
        <v>10</v>
      </c>
      <c r="AR65" s="1553">
        <v>10</v>
      </c>
      <c r="AS65" s="1548">
        <v>23</v>
      </c>
    </row>
  </sheetData>
  <sheetProtection insertRows="0" deleteColumns="0" deleteRows="0" sort="0" autoFilter="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D00-000000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xr:uid="{00000000-0002-0000-0D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D00-000002000000}"/>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D00-000003000000}">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D00-00000400000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D00-000005000000}">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D00-00000600000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D00-000007000000}">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33324-025E-F369-EA8C-7BFFD7870259}">
  <sheetPr>
    <tabColor theme="6" tint="0.39997558519241921"/>
  </sheetPr>
  <dimension ref="A1:AS65"/>
  <sheetViews>
    <sheetView showGridLines="0" topLeftCell="P25" zoomScale="90" workbookViewId="0"/>
  </sheetViews>
  <sheetFormatPr defaultColWidth="10.59765625" defaultRowHeight="14.25" customHeight="1"/>
  <cols>
    <col min="1" max="1" width="10.59765625" style="2016" hidden="1"/>
    <col min="2" max="2" width="11" style="2016" hidden="1" customWidth="1"/>
    <col min="3" max="3" width="10.59765625" style="2016" hidden="1"/>
    <col min="4" max="4" width="11.796875" style="2016" hidden="1" customWidth="1"/>
    <col min="5" max="5" width="10" style="2016" hidden="1" customWidth="1"/>
    <col min="6" max="6" width="8.69921875" style="2016" hidden="1" customWidth="1"/>
    <col min="7" max="7" width="7.59765625" style="2016" hidden="1" customWidth="1"/>
    <col min="8" max="8" width="11.3984375" style="2016" hidden="1" customWidth="1"/>
    <col min="9" max="9" width="12" style="2016" hidden="1" customWidth="1"/>
    <col min="10" max="10" width="9.796875" style="2016" hidden="1" customWidth="1"/>
    <col min="11" max="11" width="11.3984375" style="2016" hidden="1" customWidth="1"/>
    <col min="12" max="12" width="19.09765625" style="2216" hidden="1" customWidth="1"/>
    <col min="13" max="14" width="12.296875" style="2006" hidden="1" customWidth="1"/>
    <col min="15" max="15" width="23.3984375" style="2006" hidden="1" customWidth="1"/>
    <col min="16" max="16" width="3" style="2217" customWidth="1"/>
    <col min="17" max="18" width="3" style="2215" customWidth="1"/>
    <col min="19" max="19" width="12" style="2218" customWidth="1"/>
    <col min="20" max="20" width="31" style="2004" customWidth="1"/>
    <col min="21" max="21" width="0.69921875" style="2004" hidden="1" customWidth="1"/>
    <col min="22" max="22" width="1.69921875" style="2004" hidden="1" customWidth="1"/>
    <col min="23" max="23" width="24.69921875" style="2004" hidden="1" customWidth="1"/>
    <col min="24" max="25" width="9.765625E-2" style="2004" hidden="1" customWidth="1"/>
    <col min="26" max="26" width="11.69921875" style="2004" hidden="1" customWidth="1"/>
    <col min="27" max="27" width="3.69921875" style="2004" hidden="1" customWidth="1"/>
    <col min="28" max="28" width="11.69921875" style="2004" hidden="1" customWidth="1"/>
    <col min="29" max="29" width="8.59765625" style="2004" hidden="1" customWidth="1"/>
    <col min="30" max="30" width="9.765625E-2" style="2004" customWidth="1"/>
    <col min="31" max="31" width="24" style="2004" customWidth="1"/>
    <col min="32" max="33" width="9.765625E-2" style="2004" customWidth="1"/>
    <col min="34" max="34" width="11" style="2004" customWidth="1"/>
    <col min="35" max="35" width="3.69921875" style="2004" customWidth="1"/>
    <col min="36" max="36" width="11" style="2004" customWidth="1"/>
    <col min="37" max="37" width="8.59765625" style="2004" hidden="1" customWidth="1"/>
    <col min="38" max="38" width="4" style="2004" customWidth="1"/>
    <col min="39" max="39" width="115" style="2004" customWidth="1"/>
    <col min="40" max="44" width="10" style="2017" customWidth="1"/>
    <col min="45" max="45" width="10.59765625" style="2004" hidden="1"/>
  </cols>
  <sheetData>
    <row r="1" spans="1:45" ht="22.5" hidden="1" customHeight="1">
      <c r="Y1" s="262"/>
      <c r="Z1" s="262"/>
      <c r="AG1" s="262"/>
      <c r="AH1" s="262"/>
      <c r="AS1" s="1072" t="s">
        <v>14</v>
      </c>
    </row>
    <row r="2" spans="1:45" ht="21" hidden="1" customHeight="1">
      <c r="A2" s="1280"/>
      <c r="B2" s="1280"/>
      <c r="C2" s="1280"/>
      <c r="D2" s="1280"/>
      <c r="E2" s="3199">
        <v>1</v>
      </c>
      <c r="F2" s="1280"/>
      <c r="G2" s="1280"/>
      <c r="H2" s="1280"/>
      <c r="I2" s="1280"/>
      <c r="J2" s="1280"/>
      <c r="K2" s="1280"/>
      <c r="L2" s="1281"/>
      <c r="M2" s="1282"/>
      <c r="N2" s="1282"/>
      <c r="O2" s="1282"/>
      <c r="P2" s="295"/>
      <c r="Q2" s="294"/>
      <c r="R2" s="289"/>
      <c r="S2" s="1253" t="e">
        <f>INDEX(PT_DIFFERENTIATION_NUM_NTAR,MATCH(A2,PT_DIFFERENTIATION_NTAR_ID,0))</f>
        <v>#N/A</v>
      </c>
      <c r="T2" s="233" t="s">
        <v>137</v>
      </c>
      <c r="U2" s="235"/>
      <c r="V2" s="3185"/>
      <c r="W2" s="3186"/>
      <c r="X2" s="3186"/>
      <c r="Y2" s="3186"/>
      <c r="Z2" s="3186"/>
      <c r="AA2" s="3186"/>
      <c r="AB2" s="3186"/>
      <c r="AC2" s="3187"/>
      <c r="AD2" s="3185" t="e">
        <f>INDEX(PT_DIFFERENTIATION_NTAR,MATCH(A2,PT_DIFFERENTIATION_NTAR_ID,0))</f>
        <v>#N/A</v>
      </c>
      <c r="AE2" s="3186"/>
      <c r="AF2" s="3186"/>
      <c r="AG2" s="3186"/>
      <c r="AH2" s="3186"/>
      <c r="AI2" s="3186"/>
      <c r="AJ2" s="3186"/>
      <c r="AK2" s="3186"/>
      <c r="AL2" s="3187"/>
      <c r="AM2" s="1175" t="s">
        <v>431</v>
      </c>
      <c r="AO2" s="434"/>
      <c r="AP2" s="434" t="str">
        <f t="shared" ref="AP2:AP15" si="0">IF(T2="","",T2)</f>
        <v>Наименование тарифа</v>
      </c>
      <c r="AQ2" s="434"/>
      <c r="AR2" s="434"/>
      <c r="AS2" s="1072">
        <v>0</v>
      </c>
    </row>
    <row r="3" spans="1:45" ht="21" hidden="1" customHeight="1">
      <c r="A3" s="1280"/>
      <c r="B3" s="1280"/>
      <c r="C3" s="1280"/>
      <c r="D3" s="1280"/>
      <c r="E3" s="3200"/>
      <c r="F3" s="3199">
        <v>1</v>
      </c>
      <c r="G3" s="1280"/>
      <c r="H3" s="1280"/>
      <c r="I3" s="1280"/>
      <c r="J3" s="1280"/>
      <c r="K3" s="1280"/>
      <c r="L3" s="1281"/>
      <c r="M3" s="1282"/>
      <c r="N3" s="1282"/>
      <c r="O3" s="1282"/>
      <c r="P3" s="1249"/>
      <c r="Q3" s="286"/>
      <c r="R3" s="287"/>
      <c r="S3" s="1253" t="e">
        <f>INDEX(PT_DIFFERENTIATION_NUM_TER,MATCH(B3,PT_DIFFERENTIATION_TER_ID,0))</f>
        <v>#N/A</v>
      </c>
      <c r="T3" s="243" t="s">
        <v>432</v>
      </c>
      <c r="U3" s="235"/>
      <c r="V3" s="3185"/>
      <c r="W3" s="3186"/>
      <c r="X3" s="3186"/>
      <c r="Y3" s="3186"/>
      <c r="Z3" s="3186"/>
      <c r="AA3" s="3186"/>
      <c r="AB3" s="3186"/>
      <c r="AC3" s="3187"/>
      <c r="AD3" s="3185" t="e">
        <f>INDEX(PT_DIFFERENTIATION_TER,MATCH(B3,PT_DIFFERENTIATION_TER_ID,0))</f>
        <v>#N/A</v>
      </c>
      <c r="AE3" s="3186"/>
      <c r="AF3" s="3186"/>
      <c r="AG3" s="3186"/>
      <c r="AH3" s="3186"/>
      <c r="AI3" s="3186"/>
      <c r="AJ3" s="3186"/>
      <c r="AK3" s="3186"/>
      <c r="AL3" s="3187"/>
      <c r="AM3" s="1175" t="s">
        <v>433</v>
      </c>
      <c r="AO3" s="434"/>
      <c r="AP3" s="434" t="str">
        <f t="shared" si="0"/>
        <v>Территория действия тарифа</v>
      </c>
      <c r="AQ3" s="434"/>
      <c r="AR3" s="434"/>
      <c r="AS3" s="1072">
        <v>0</v>
      </c>
    </row>
    <row r="4" spans="1:45" ht="23.25" hidden="1" customHeight="1">
      <c r="A4" s="1280"/>
      <c r="B4" s="1280"/>
      <c r="C4" s="1280"/>
      <c r="D4" s="1280"/>
      <c r="E4" s="3200"/>
      <c r="F4" s="3200"/>
      <c r="G4" s="3199">
        <v>1</v>
      </c>
      <c r="H4" s="1280"/>
      <c r="I4" s="1280"/>
      <c r="J4" s="1280"/>
      <c r="K4" s="1280"/>
      <c r="L4" s="1281"/>
      <c r="M4" s="1282"/>
      <c r="N4" s="1282"/>
      <c r="O4" s="1282"/>
      <c r="P4" s="288"/>
      <c r="Q4" s="286"/>
      <c r="R4" s="287"/>
      <c r="S4" s="1253" t="e">
        <f>INDEX(PT_DIFFERENTIATION_NUM_CS,MATCH(C4,PT_DIFFERENTIATION_CS_ID,0))</f>
        <v>#N/A</v>
      </c>
      <c r="T4" s="244" t="s">
        <v>434</v>
      </c>
      <c r="U4" s="235"/>
      <c r="V4" s="3185"/>
      <c r="W4" s="3186"/>
      <c r="X4" s="3186"/>
      <c r="Y4" s="3186"/>
      <c r="Z4" s="3186"/>
      <c r="AA4" s="3186"/>
      <c r="AB4" s="3186"/>
      <c r="AC4" s="3187"/>
      <c r="AD4" s="3185" t="e">
        <f>INDEX(PT_DIFFERENTIATION_CS,MATCH(C4,PT_DIFFERENTIATION_CS_ID,0))</f>
        <v>#N/A</v>
      </c>
      <c r="AE4" s="3186"/>
      <c r="AF4" s="3186"/>
      <c r="AG4" s="3186"/>
      <c r="AH4" s="3186"/>
      <c r="AI4" s="3186"/>
      <c r="AJ4" s="3186"/>
      <c r="AK4" s="3186"/>
      <c r="AL4" s="3187"/>
      <c r="AM4" s="1175" t="s">
        <v>435</v>
      </c>
      <c r="AO4" s="434"/>
      <c r="AP4" s="434" t="str">
        <f t="shared" si="0"/>
        <v xml:space="preserve">Наименование системы теплоснабжения </v>
      </c>
      <c r="AQ4" s="434"/>
      <c r="AR4" s="434"/>
      <c r="AS4" s="1072">
        <v>0</v>
      </c>
    </row>
    <row r="5" spans="1:45" ht="21" hidden="1" customHeight="1">
      <c r="A5" s="1280"/>
      <c r="B5" s="1280"/>
      <c r="C5" s="1280"/>
      <c r="D5" s="1280"/>
      <c r="E5" s="3200"/>
      <c r="F5" s="3200"/>
      <c r="G5" s="3200"/>
      <c r="H5" s="3199">
        <v>1</v>
      </c>
      <c r="I5" s="1280"/>
      <c r="J5" s="1280"/>
      <c r="K5" s="1280"/>
      <c r="L5" s="1281"/>
      <c r="M5" s="1282"/>
      <c r="N5" s="1282"/>
      <c r="O5" s="1282"/>
      <c r="P5" s="288"/>
      <c r="Q5" s="286"/>
      <c r="R5" s="287"/>
      <c r="S5" s="1253" t="e">
        <f>INDEX(PT_DIFFERENTIATION_NUM_IST_TE,MATCH(D5,PT_DIFFERENTIATION_IST_TE_ID,0))</f>
        <v>#N/A</v>
      </c>
      <c r="T5" s="245" t="s">
        <v>436</v>
      </c>
      <c r="U5" s="235"/>
      <c r="V5" s="3185"/>
      <c r="W5" s="3186"/>
      <c r="X5" s="3186"/>
      <c r="Y5" s="3186"/>
      <c r="Z5" s="3186"/>
      <c r="AA5" s="3186"/>
      <c r="AB5" s="3186"/>
      <c r="AC5" s="3187"/>
      <c r="AD5" s="3185" t="e">
        <f>INDEX(PT_DIFFERENTIATION_IST_TE,MATCH(D5,PT_DIFFERENTIATION_IST_TE_ID,0))</f>
        <v>#N/A</v>
      </c>
      <c r="AE5" s="3186"/>
      <c r="AF5" s="3186"/>
      <c r="AG5" s="3186"/>
      <c r="AH5" s="3186"/>
      <c r="AI5" s="3186"/>
      <c r="AJ5" s="3186"/>
      <c r="AK5" s="3186"/>
      <c r="AL5" s="3187"/>
      <c r="AM5" s="1175" t="s">
        <v>437</v>
      </c>
      <c r="AO5" s="434"/>
      <c r="AP5" s="434" t="str">
        <f t="shared" si="0"/>
        <v xml:space="preserve">Источник тепловой энергии  </v>
      </c>
      <c r="AQ5" s="434"/>
      <c r="AR5" s="434"/>
      <c r="AS5" s="1072">
        <v>0</v>
      </c>
    </row>
    <row r="6" spans="1:45" ht="47.25" hidden="1" customHeight="1">
      <c r="A6" s="1280"/>
      <c r="B6" s="1280"/>
      <c r="C6" s="1280"/>
      <c r="D6" s="1280"/>
      <c r="E6" s="3200"/>
      <c r="F6" s="3200"/>
      <c r="G6" s="3200"/>
      <c r="H6" s="3200"/>
      <c r="I6" s="3197" t="e">
        <f>S5&amp;".1"</f>
        <v>#N/A</v>
      </c>
      <c r="J6" s="1280"/>
      <c r="K6" s="1280"/>
      <c r="L6" s="1281" t="s">
        <v>438</v>
      </c>
      <c r="M6" s="471"/>
      <c r="P6" s="3198">
        <v>1</v>
      </c>
      <c r="Q6" s="1248"/>
      <c r="R6" s="290"/>
      <c r="S6" s="1253" t="e">
        <f>$I6</f>
        <v>#N/A</v>
      </c>
      <c r="T6" s="220" t="s">
        <v>439</v>
      </c>
      <c r="U6" s="235"/>
      <c r="V6" s="3188"/>
      <c r="W6" s="3189"/>
      <c r="X6" s="3189"/>
      <c r="Y6" s="3189"/>
      <c r="Z6" s="3189"/>
      <c r="AA6" s="3189"/>
      <c r="AB6" s="3189"/>
      <c r="AC6" s="3190"/>
      <c r="AD6" s="3188"/>
      <c r="AE6" s="3189"/>
      <c r="AF6" s="3189"/>
      <c r="AG6" s="3189"/>
      <c r="AH6" s="3189"/>
      <c r="AI6" s="3189"/>
      <c r="AJ6" s="3189"/>
      <c r="AK6" s="3189"/>
      <c r="AL6" s="3190"/>
      <c r="AM6" s="1175" t="s">
        <v>440</v>
      </c>
      <c r="AO6" s="434"/>
      <c r="AP6" s="434" t="str">
        <f t="shared" si="0"/>
        <v>Схема подключения теплопотребляющей установки к коллектору источника тепловой энергии</v>
      </c>
      <c r="AQ6" s="434"/>
      <c r="AR6" s="434"/>
      <c r="AS6" s="1072">
        <v>0</v>
      </c>
    </row>
    <row r="7" spans="1:45" ht="21" hidden="1" customHeight="1">
      <c r="A7" s="1280"/>
      <c r="B7" s="1280"/>
      <c r="C7" s="1280"/>
      <c r="D7" s="1280"/>
      <c r="E7" s="3200"/>
      <c r="F7" s="3200"/>
      <c r="G7" s="3200"/>
      <c r="H7" s="3200"/>
      <c r="I7" s="3220"/>
      <c r="J7" s="3197" t="e">
        <f>I6&amp;".1"</f>
        <v>#N/A</v>
      </c>
      <c r="K7" s="1280"/>
      <c r="L7" s="1281" t="s">
        <v>441</v>
      </c>
      <c r="M7" s="471"/>
      <c r="N7" s="1283"/>
      <c r="P7" s="3198"/>
      <c r="Q7" s="3198">
        <v>1</v>
      </c>
      <c r="R7" s="291"/>
      <c r="S7" s="1253" t="e">
        <f>$J7</f>
        <v>#N/A</v>
      </c>
      <c r="T7" s="221" t="s">
        <v>442</v>
      </c>
      <c r="U7" s="235"/>
      <c r="V7" s="3188"/>
      <c r="W7" s="3189"/>
      <c r="X7" s="3189"/>
      <c r="Y7" s="3189"/>
      <c r="Z7" s="3189"/>
      <c r="AA7" s="3189"/>
      <c r="AB7" s="3189"/>
      <c r="AC7" s="3190"/>
      <c r="AD7" s="3188"/>
      <c r="AE7" s="3189"/>
      <c r="AF7" s="3189"/>
      <c r="AG7" s="3189"/>
      <c r="AH7" s="3189"/>
      <c r="AI7" s="3189"/>
      <c r="AJ7" s="3189"/>
      <c r="AK7" s="3189"/>
      <c r="AL7" s="3190"/>
      <c r="AM7" s="1175" t="s">
        <v>443</v>
      </c>
      <c r="AO7" s="434"/>
      <c r="AP7" s="434" t="str">
        <f t="shared" si="0"/>
        <v>Группа потребителей</v>
      </c>
      <c r="AQ7" s="434"/>
      <c r="AR7" s="434"/>
      <c r="AS7" s="1072">
        <v>0</v>
      </c>
    </row>
    <row r="8" spans="1:45" ht="21" hidden="1" customHeight="1">
      <c r="A8" s="1280"/>
      <c r="B8" s="1280"/>
      <c r="C8" s="1280"/>
      <c r="D8" s="1280"/>
      <c r="E8" s="3200"/>
      <c r="F8" s="3200"/>
      <c r="G8" s="3200"/>
      <c r="H8" s="3200"/>
      <c r="I8" s="3220"/>
      <c r="J8" s="3220"/>
      <c r="K8" s="3197" t="e">
        <f>J7&amp;".1"</f>
        <v>#N/A</v>
      </c>
      <c r="L8" s="1281" t="s">
        <v>444</v>
      </c>
      <c r="M8" s="471"/>
      <c r="N8" s="1283"/>
      <c r="O8" s="1283"/>
      <c r="P8" s="3198"/>
      <c r="Q8" s="3198"/>
      <c r="R8" s="291">
        <v>1</v>
      </c>
      <c r="S8" s="1253" t="e">
        <f>$K8</f>
        <v>#N/A</v>
      </c>
      <c r="T8" s="1264"/>
      <c r="U8" s="235"/>
      <c r="V8" s="260"/>
      <c r="W8" s="685"/>
      <c r="X8" s="260"/>
      <c r="Y8" s="318"/>
      <c r="Z8" s="3202"/>
      <c r="AA8" s="3048" t="s">
        <v>67</v>
      </c>
      <c r="AB8" s="3202"/>
      <c r="AC8" s="3048" t="s">
        <v>67</v>
      </c>
      <c r="AD8" s="260"/>
      <c r="AE8" s="685"/>
      <c r="AF8" s="260"/>
      <c r="AG8" s="318"/>
      <c r="AH8" s="3202"/>
      <c r="AI8" s="3048" t="s">
        <v>67</v>
      </c>
      <c r="AJ8" s="3202"/>
      <c r="AK8" s="3048" t="s">
        <v>67</v>
      </c>
      <c r="AL8" s="260"/>
      <c r="AM8" s="3194" t="s">
        <v>445</v>
      </c>
      <c r="AN8" s="445" t="e">
        <f ca="1">STRCHECKDATE(V9:AL9)</f>
        <v>#NAME?</v>
      </c>
      <c r="AO8" s="434"/>
      <c r="AP8" s="434" t="str">
        <f t="shared" si="0"/>
        <v/>
      </c>
      <c r="AQ8" s="434"/>
      <c r="AR8" s="434"/>
      <c r="AS8" s="1072">
        <v>0</v>
      </c>
    </row>
    <row r="9" spans="1:45" ht="0.75" hidden="1" customHeight="1">
      <c r="A9" s="1280"/>
      <c r="B9" s="1280"/>
      <c r="C9" s="1280"/>
      <c r="D9" s="1280"/>
      <c r="E9" s="3200"/>
      <c r="F9" s="3200"/>
      <c r="G9" s="3200"/>
      <c r="H9" s="3200"/>
      <c r="I9" s="3220"/>
      <c r="J9" s="3220"/>
      <c r="K9" s="3197"/>
      <c r="L9" s="1281"/>
      <c r="M9" s="471"/>
      <c r="N9" s="1283"/>
      <c r="O9" s="1283"/>
      <c r="P9" s="3198"/>
      <c r="Q9" s="3198"/>
      <c r="R9" s="291"/>
      <c r="S9" s="1259"/>
      <c r="T9" s="235"/>
      <c r="U9" s="235"/>
      <c r="V9" s="260"/>
      <c r="W9" s="260"/>
      <c r="X9" s="260"/>
      <c r="Y9" s="263" t="str">
        <f>Z8&amp;"-"&amp;AB8</f>
        <v>-</v>
      </c>
      <c r="Z9" s="3203"/>
      <c r="AA9" s="3048"/>
      <c r="AB9" s="3203"/>
      <c r="AC9" s="3048"/>
      <c r="AD9" s="260"/>
      <c r="AE9" s="260"/>
      <c r="AF9" s="260"/>
      <c r="AG9" s="263" t="str">
        <f>AH8&amp;"-"&amp;AJ8</f>
        <v>-</v>
      </c>
      <c r="AH9" s="3203"/>
      <c r="AI9" s="3048"/>
      <c r="AJ9" s="3203"/>
      <c r="AK9" s="3048"/>
      <c r="AL9" s="260"/>
      <c r="AM9" s="3195"/>
      <c r="AO9" s="434"/>
      <c r="AP9" s="434" t="str">
        <f t="shared" si="0"/>
        <v/>
      </c>
      <c r="AQ9" s="434"/>
      <c r="AR9" s="434"/>
      <c r="AS9" s="1072">
        <v>0</v>
      </c>
    </row>
    <row r="10" spans="1:45" ht="15" hidden="1" customHeight="1">
      <c r="A10" s="1280"/>
      <c r="B10" s="1280"/>
      <c r="C10" s="1280"/>
      <c r="D10" s="1280"/>
      <c r="E10" s="3200"/>
      <c r="F10" s="3200"/>
      <c r="G10" s="3200"/>
      <c r="H10" s="3200"/>
      <c r="I10" s="3220"/>
      <c r="J10" s="3197"/>
      <c r="K10" s="1280"/>
      <c r="L10" s="1281"/>
      <c r="M10" s="471"/>
      <c r="N10" s="1283"/>
      <c r="P10" s="3198"/>
      <c r="Q10" s="3198"/>
      <c r="R10" s="290"/>
      <c r="S10" s="1195"/>
      <c r="T10" s="223" t="s">
        <v>446</v>
      </c>
      <c r="U10" s="301"/>
      <c r="V10" s="301"/>
      <c r="W10" s="301"/>
      <c r="X10" s="301"/>
      <c r="Y10" s="301"/>
      <c r="Z10" s="301"/>
      <c r="AA10" s="301"/>
      <c r="AB10" s="301"/>
      <c r="AC10" s="301"/>
      <c r="AD10" s="301"/>
      <c r="AE10" s="301"/>
      <c r="AF10" s="301"/>
      <c r="AG10" s="301"/>
      <c r="AH10" s="301"/>
      <c r="AI10" s="301"/>
      <c r="AJ10" s="301"/>
      <c r="AK10" s="301"/>
      <c r="AL10" s="259"/>
      <c r="AM10" s="3196"/>
      <c r="AO10" s="434"/>
      <c r="AP10" s="434" t="str">
        <f t="shared" si="0"/>
        <v>Добавить вид теплоносителя (параметры теплоносителя)</v>
      </c>
      <c r="AQ10" s="434"/>
      <c r="AR10" s="434"/>
      <c r="AS10" s="1072">
        <v>0</v>
      </c>
    </row>
    <row r="11" spans="1:45" ht="15" hidden="1" customHeight="1">
      <c r="A11" s="1280"/>
      <c r="B11" s="1280"/>
      <c r="C11" s="1280"/>
      <c r="D11" s="1280"/>
      <c r="E11" s="3200"/>
      <c r="F11" s="3200"/>
      <c r="G11" s="3200"/>
      <c r="H11" s="3200"/>
      <c r="I11" s="3197"/>
      <c r="J11" s="1280"/>
      <c r="K11" s="1280"/>
      <c r="L11" s="1281"/>
      <c r="M11" s="471"/>
      <c r="P11" s="3198"/>
      <c r="Q11" s="1248"/>
      <c r="R11" s="290"/>
      <c r="S11" s="1195"/>
      <c r="T11" s="222" t="s">
        <v>447</v>
      </c>
      <c r="U11" s="301"/>
      <c r="V11" s="301"/>
      <c r="W11" s="301"/>
      <c r="X11" s="301"/>
      <c r="Y11" s="301"/>
      <c r="Z11" s="301"/>
      <c r="AA11" s="301"/>
      <c r="AB11" s="301"/>
      <c r="AC11" s="300"/>
      <c r="AD11" s="301"/>
      <c r="AE11" s="301"/>
      <c r="AF11" s="301"/>
      <c r="AG11" s="301"/>
      <c r="AH11" s="301"/>
      <c r="AI11" s="301"/>
      <c r="AJ11" s="301"/>
      <c r="AK11" s="300"/>
      <c r="AL11" s="301"/>
      <c r="AM11" s="238"/>
      <c r="AO11" s="434"/>
      <c r="AP11" s="434" t="str">
        <f t="shared" si="0"/>
        <v>Добавить группу потребителей</v>
      </c>
      <c r="AQ11" s="434"/>
      <c r="AR11" s="434"/>
      <c r="AS11" s="1072">
        <v>0</v>
      </c>
    </row>
    <row r="12" spans="1:45" ht="14.25" hidden="1" customHeight="1">
      <c r="A12" s="1280"/>
      <c r="B12" s="1280"/>
      <c r="C12" s="1280"/>
      <c r="D12" s="1280"/>
      <c r="E12" s="3200"/>
      <c r="F12" s="3200"/>
      <c r="G12" s="3200"/>
      <c r="H12" s="3199"/>
      <c r="I12" s="1280"/>
      <c r="J12" s="1280"/>
      <c r="K12" s="1280"/>
      <c r="L12" s="1281"/>
      <c r="M12" s="1282"/>
      <c r="N12" s="1282"/>
      <c r="O12" s="471"/>
      <c r="P12" s="294"/>
      <c r="Q12" s="309"/>
      <c r="R12" s="289"/>
      <c r="S12" s="1195"/>
      <c r="T12" s="299" t="s">
        <v>448</v>
      </c>
      <c r="U12" s="301"/>
      <c r="V12" s="301"/>
      <c r="W12" s="301"/>
      <c r="X12" s="301"/>
      <c r="Y12" s="301"/>
      <c r="Z12" s="301"/>
      <c r="AA12" s="301"/>
      <c r="AB12" s="301"/>
      <c r="AC12" s="300"/>
      <c r="AD12" s="301"/>
      <c r="AE12" s="301"/>
      <c r="AF12" s="301"/>
      <c r="AG12" s="301"/>
      <c r="AH12" s="301"/>
      <c r="AI12" s="301"/>
      <c r="AJ12" s="301"/>
      <c r="AK12" s="300"/>
      <c r="AL12" s="301"/>
      <c r="AM12" s="238"/>
      <c r="AO12" s="434"/>
      <c r="AP12" s="434" t="str">
        <f t="shared" si="0"/>
        <v>Добавить схему подключения</v>
      </c>
      <c r="AQ12" s="434"/>
      <c r="AR12" s="434"/>
      <c r="AS12" s="1072">
        <v>0</v>
      </c>
    </row>
    <row r="13" spans="1:45" s="2017" customFormat="1" ht="0.75" hidden="1" customHeight="1">
      <c r="A13" s="1231"/>
      <c r="B13" s="1231"/>
      <c r="C13" s="1231"/>
      <c r="D13" s="1231"/>
      <c r="E13" s="3200"/>
      <c r="F13" s="3200"/>
      <c r="G13" s="3199"/>
      <c r="H13" s="1231"/>
      <c r="I13" s="1231"/>
      <c r="J13" s="1231"/>
      <c r="K13" s="1231"/>
      <c r="L13" s="1256"/>
      <c r="M13" s="1232"/>
      <c r="N13" s="1232"/>
      <c r="P13" s="1233"/>
      <c r="Q13" s="1234"/>
      <c r="R13" s="1233"/>
      <c r="S13" s="1235"/>
      <c r="T13" s="1236" t="s">
        <v>180</v>
      </c>
      <c r="U13" s="1237"/>
      <c r="V13" s="1237"/>
      <c r="W13" s="1237"/>
      <c r="X13" s="1237"/>
      <c r="Y13" s="1237"/>
      <c r="Z13" s="1237"/>
      <c r="AA13" s="1237"/>
      <c r="AB13" s="1237"/>
      <c r="AC13" s="1237"/>
      <c r="AD13" s="1237"/>
      <c r="AE13" s="1237"/>
      <c r="AF13" s="1237"/>
      <c r="AG13" s="1237"/>
      <c r="AH13" s="1237"/>
      <c r="AI13" s="1237"/>
      <c r="AJ13" s="1237"/>
      <c r="AK13" s="1237"/>
      <c r="AL13" s="1237"/>
      <c r="AM13" s="1237"/>
      <c r="AO13" s="717"/>
      <c r="AP13" s="717" t="str">
        <f t="shared" si="0"/>
        <v>Добавить источник для дифференциации</v>
      </c>
      <c r="AQ13" s="717"/>
      <c r="AR13" s="717"/>
      <c r="AS13" s="452">
        <v>0</v>
      </c>
    </row>
    <row r="14" spans="1:45" s="2017" customFormat="1" ht="0.75" hidden="1" customHeight="1">
      <c r="A14" s="1231"/>
      <c r="B14" s="1231"/>
      <c r="C14" s="1231"/>
      <c r="D14" s="1231"/>
      <c r="E14" s="3200"/>
      <c r="F14" s="3199"/>
      <c r="G14" s="1231"/>
      <c r="H14" s="1231"/>
      <c r="I14" s="1231"/>
      <c r="J14" s="1231"/>
      <c r="K14" s="1231"/>
      <c r="L14" s="1256"/>
      <c r="M14" s="1238"/>
      <c r="N14" s="1238"/>
      <c r="P14" s="1233"/>
      <c r="Q14" s="1234"/>
      <c r="R14" s="1233"/>
      <c r="S14" s="1239"/>
      <c r="T14" s="1240" t="s">
        <v>181</v>
      </c>
      <c r="U14" s="1241"/>
      <c r="V14" s="1241"/>
      <c r="W14" s="1241"/>
      <c r="X14" s="1241"/>
      <c r="Y14" s="1241"/>
      <c r="Z14" s="1241"/>
      <c r="AA14" s="1241"/>
      <c r="AB14" s="1241"/>
      <c r="AC14" s="1241"/>
      <c r="AD14" s="1241"/>
      <c r="AE14" s="1241"/>
      <c r="AF14" s="1241"/>
      <c r="AG14" s="1241"/>
      <c r="AH14" s="1241"/>
      <c r="AI14" s="1241"/>
      <c r="AJ14" s="1241"/>
      <c r="AK14" s="1241"/>
      <c r="AL14" s="1241"/>
      <c r="AM14" s="1241"/>
      <c r="AO14" s="717"/>
      <c r="AP14" s="717" t="str">
        <f t="shared" si="0"/>
        <v>Добавить централизованную систему для дифференциации</v>
      </c>
      <c r="AQ14" s="717"/>
      <c r="AR14" s="717"/>
      <c r="AS14" s="452">
        <v>0</v>
      </c>
    </row>
    <row r="15" spans="1:45" s="2017" customFormat="1" ht="0.75" hidden="1" customHeight="1">
      <c r="A15" s="1231"/>
      <c r="B15" s="1231"/>
      <c r="C15" s="1231"/>
      <c r="D15" s="1231"/>
      <c r="E15" s="3199"/>
      <c r="F15" s="1231"/>
      <c r="G15" s="1231"/>
      <c r="H15" s="1231"/>
      <c r="I15" s="1231"/>
      <c r="J15" s="1231"/>
      <c r="K15" s="1231"/>
      <c r="L15" s="1256"/>
      <c r="M15" s="1238"/>
      <c r="N15" s="1238"/>
      <c r="P15" s="1233"/>
      <c r="Q15" s="1234"/>
      <c r="R15" s="1233"/>
      <c r="S15" s="1239"/>
      <c r="T15" s="1242" t="s">
        <v>188</v>
      </c>
      <c r="U15" s="1241"/>
      <c r="V15" s="1241"/>
      <c r="W15" s="1241"/>
      <c r="X15" s="1241"/>
      <c r="Y15" s="1241"/>
      <c r="Z15" s="1241"/>
      <c r="AA15" s="1241"/>
      <c r="AB15" s="1241"/>
      <c r="AC15" s="1241"/>
      <c r="AD15" s="1241"/>
      <c r="AE15" s="1241"/>
      <c r="AF15" s="1241"/>
      <c r="AG15" s="1241"/>
      <c r="AH15" s="1241"/>
      <c r="AI15" s="1241"/>
      <c r="AJ15" s="1241"/>
      <c r="AK15" s="1241"/>
      <c r="AL15" s="1241"/>
      <c r="AM15" s="1241"/>
      <c r="AO15" s="717"/>
      <c r="AP15" s="717" t="str">
        <f t="shared" si="0"/>
        <v>Добавить территорию для дифференциации</v>
      </c>
      <c r="AQ15" s="717"/>
      <c r="AR15" s="717"/>
      <c r="AS15" s="452">
        <v>0</v>
      </c>
    </row>
    <row r="16" spans="1:45" ht="14.25" hidden="1" customHeight="1">
      <c r="AC16" s="262"/>
      <c r="AK16" s="262"/>
      <c r="AS16" s="1072">
        <v>0</v>
      </c>
    </row>
    <row r="17" spans="1:45" ht="14.25" hidden="1" customHeight="1">
      <c r="AD17" s="1277"/>
      <c r="AE17" s="1277"/>
      <c r="AF17" s="1277"/>
      <c r="AG17" s="1278"/>
      <c r="AH17" s="3204"/>
      <c r="AI17" s="3205" t="s">
        <v>67</v>
      </c>
      <c r="AJ17" s="3204"/>
      <c r="AK17" s="3205" t="s">
        <v>67</v>
      </c>
      <c r="AS17" s="1072">
        <v>0</v>
      </c>
    </row>
    <row r="18" spans="1:45" ht="14.25" hidden="1" customHeight="1">
      <c r="AD18" s="1277"/>
      <c r="AE18" s="1277"/>
      <c r="AF18" s="1277"/>
      <c r="AG18" s="263" t="str">
        <f>AH17&amp;"-"&amp;AJ17</f>
        <v>-</v>
      </c>
      <c r="AH18" s="3205"/>
      <c r="AI18" s="3205"/>
      <c r="AJ18" s="3205"/>
      <c r="AK18" s="3205"/>
      <c r="AS18" s="1072">
        <v>0</v>
      </c>
    </row>
    <row r="19" spans="1:45" ht="14.25" hidden="1" customHeight="1">
      <c r="AK19" s="262"/>
      <c r="AS19" s="1072">
        <v>0</v>
      </c>
    </row>
    <row r="20" spans="1:45" s="2016" customFormat="1" ht="22.5" hidden="1" customHeight="1">
      <c r="L20" s="1246"/>
      <c r="M20" s="1279"/>
      <c r="N20" s="1279"/>
      <c r="O20" s="1284" t="s">
        <v>449</v>
      </c>
      <c r="P20" s="1279"/>
      <c r="Q20" s="1288"/>
      <c r="R20" s="1288"/>
      <c r="S20" s="663"/>
      <c r="Z20" s="1284"/>
      <c r="AB20" s="1284"/>
      <c r="AC20" s="1283"/>
      <c r="AH20" s="1284"/>
      <c r="AJ20" s="1284"/>
      <c r="AK20" s="1283"/>
      <c r="AN20" s="445"/>
      <c r="AO20" s="445"/>
      <c r="AP20" s="445"/>
      <c r="AQ20" s="445"/>
      <c r="AR20" s="445"/>
      <c r="AS20" s="1077">
        <v>0</v>
      </c>
    </row>
    <row r="21" spans="1:45" s="2016" customFormat="1" ht="14.25" hidden="1" customHeight="1">
      <c r="L21" s="1246"/>
      <c r="M21" s="1279"/>
      <c r="N21" s="1279"/>
      <c r="O21" s="1279"/>
      <c r="P21" s="1279"/>
      <c r="Q21" s="1288"/>
      <c r="R21" s="1288"/>
      <c r="S21" s="663"/>
      <c r="AC21" s="1283"/>
      <c r="AK21" s="1283"/>
      <c r="AN21" s="445"/>
      <c r="AO21" s="445"/>
      <c r="AP21" s="445"/>
      <c r="AQ21" s="445"/>
      <c r="AR21" s="445"/>
      <c r="AS21" s="1077">
        <v>0</v>
      </c>
    </row>
    <row r="22" spans="1:45" s="2016" customFormat="1" ht="33.75" hidden="1" customHeight="1">
      <c r="L22" s="1246"/>
      <c r="M22" s="1279"/>
      <c r="N22" s="1279"/>
      <c r="O22" s="1281" t="s">
        <v>450</v>
      </c>
      <c r="P22" s="1279"/>
      <c r="Q22" s="1288"/>
      <c r="R22" s="1288"/>
      <c r="S22" s="663"/>
      <c r="T22" s="1077" t="s">
        <v>451</v>
      </c>
      <c r="AA22" s="121" t="s">
        <v>452</v>
      </c>
      <c r="AC22" s="121" t="s">
        <v>453</v>
      </c>
      <c r="AD22" s="1077" t="s">
        <v>451</v>
      </c>
      <c r="AI22" s="121" t="s">
        <v>454</v>
      </c>
      <c r="AK22" s="121" t="s">
        <v>453</v>
      </c>
      <c r="AN22" s="445"/>
      <c r="AO22" s="445"/>
      <c r="AP22" s="445"/>
      <c r="AQ22" s="445"/>
      <c r="AR22" s="445"/>
      <c r="AS22" s="1077">
        <v>0</v>
      </c>
    </row>
    <row r="23" spans="1:45" ht="14.25" hidden="1" customHeight="1">
      <c r="O23" s="1281"/>
      <c r="AS23" s="1072">
        <v>0</v>
      </c>
    </row>
    <row r="24" spans="1:45" ht="14.25" hidden="1" customHeight="1">
      <c r="O24" s="1281"/>
      <c r="AS24" s="1072">
        <v>0</v>
      </c>
    </row>
    <row r="25" spans="1:45" ht="14.65" customHeight="1">
      <c r="Q25" s="310"/>
      <c r="R25" s="310"/>
      <c r="S25" s="1192"/>
      <c r="T25" s="297"/>
      <c r="U25" s="297"/>
      <c r="V25" s="443"/>
      <c r="W25" s="443"/>
      <c r="X25" s="443"/>
      <c r="Y25" s="443"/>
      <c r="Z25" s="443"/>
      <c r="AA25" s="443"/>
      <c r="AB25" s="443"/>
      <c r="AC25" s="443"/>
      <c r="AD25" s="443"/>
      <c r="AE25" s="443"/>
      <c r="AF25" s="443"/>
      <c r="AG25" s="443"/>
      <c r="AH25" s="443"/>
      <c r="AI25" s="443"/>
      <c r="AJ25" s="443"/>
      <c r="AK25" s="443"/>
      <c r="AS25" s="1072">
        <v>14</v>
      </c>
    </row>
    <row r="26" spans="1:45" ht="29.25" customHeight="1">
      <c r="Q26" s="310"/>
      <c r="R26" s="310"/>
      <c r="S26" s="3183"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3183"/>
      <c r="U26" s="3183"/>
      <c r="V26" s="3183"/>
      <c r="W26" s="3183"/>
      <c r="X26" s="3183"/>
      <c r="Y26" s="3183"/>
      <c r="Z26" s="3183"/>
      <c r="AA26" s="3183"/>
      <c r="AB26" s="3183"/>
      <c r="AC26" s="3183"/>
      <c r="AD26" s="3183"/>
      <c r="AE26" s="3183"/>
      <c r="AF26" s="3183"/>
      <c r="AG26" s="3183"/>
      <c r="AH26" s="3183"/>
      <c r="AI26" s="3183"/>
      <c r="AJ26" s="3183"/>
      <c r="AK26" s="1160"/>
      <c r="AS26" s="1072">
        <v>28</v>
      </c>
    </row>
    <row r="27" spans="1:45" ht="14.65" customHeight="1">
      <c r="Q27" s="310"/>
      <c r="R27" s="310"/>
      <c r="S27" s="3131" t="str">
        <f>IF(org=0,"Не определено",org)</f>
        <v>ООО "РСО"</v>
      </c>
      <c r="T27" s="3131"/>
      <c r="U27" s="3131"/>
      <c r="V27" s="3131"/>
      <c r="W27" s="3131"/>
      <c r="X27" s="3131"/>
      <c r="Y27" s="3131"/>
      <c r="Z27" s="3131"/>
      <c r="AA27" s="3131"/>
      <c r="AB27" s="3131"/>
      <c r="AC27" s="3131"/>
      <c r="AD27" s="3131"/>
      <c r="AE27" s="3131"/>
      <c r="AF27" s="3131"/>
      <c r="AG27" s="3131"/>
      <c r="AH27" s="3131"/>
      <c r="AI27" s="3131"/>
      <c r="AJ27" s="3131"/>
      <c r="AK27" s="1160"/>
      <c r="AS27" s="1072">
        <v>14</v>
      </c>
    </row>
    <row r="28" spans="1:45" ht="14.25" hidden="1" customHeight="1">
      <c r="Q28" s="310"/>
      <c r="R28" s="310"/>
      <c r="S28" s="1192"/>
      <c r="T28" s="297"/>
      <c r="U28" s="297"/>
      <c r="V28" s="257"/>
      <c r="W28" s="257"/>
      <c r="X28" s="257"/>
      <c r="Y28" s="257"/>
      <c r="Z28" s="257"/>
      <c r="AA28" s="257"/>
      <c r="AB28" s="257"/>
      <c r="AC28" s="257"/>
      <c r="AD28" s="257"/>
      <c r="AE28" s="257"/>
      <c r="AF28" s="257"/>
      <c r="AG28" s="257"/>
      <c r="AH28" s="257"/>
      <c r="AI28" s="257"/>
      <c r="AJ28" s="257"/>
      <c r="AK28" s="257"/>
      <c r="AL28" s="443"/>
      <c r="AS28" s="1072">
        <v>0</v>
      </c>
    </row>
    <row r="29" spans="1:45" s="2028" customFormat="1" ht="25.5" hidden="1" customHeight="1">
      <c r="A29" s="1285"/>
      <c r="B29" s="1285"/>
      <c r="C29" s="1285"/>
      <c r="D29" s="1285"/>
      <c r="E29" s="1285"/>
      <c r="F29" s="1285"/>
      <c r="G29" s="1285"/>
      <c r="H29" s="1285"/>
      <c r="I29" s="1285"/>
      <c r="J29" s="1285"/>
      <c r="K29" s="1285"/>
      <c r="L29" s="1286"/>
      <c r="M29" s="1285"/>
      <c r="N29" s="1285"/>
      <c r="O29" s="1285"/>
      <c r="S29" s="3191" t="s">
        <v>42</v>
      </c>
      <c r="T29" s="3191"/>
      <c r="U29" s="1289"/>
      <c r="V29" s="3192" t="str">
        <f>IF(TITLE_NAME_OR_PR_CHANGE="",IF(TITLE_NAME_OR_PR="","",TITLE_NAME_OR_PR),TITLE_NAME_OR_PR_CHANGE)</f>
        <v/>
      </c>
      <c r="W29" s="3192"/>
      <c r="X29" s="3192"/>
      <c r="Y29" s="3192"/>
      <c r="Z29" s="3192"/>
      <c r="AA29" s="3192"/>
      <c r="AB29" s="3192"/>
      <c r="AC29" s="261"/>
      <c r="AD29" s="3192" t="str">
        <f>IF(TITLE_NAME_OR_PR_CHANGE="",IF(TITLE_NAME_OR_PR="","",TITLE_NAME_OR_PR),TITLE_NAME_OR_PR_CHANGE)</f>
        <v/>
      </c>
      <c r="AE29" s="3192"/>
      <c r="AF29" s="3192"/>
      <c r="AG29" s="3192"/>
      <c r="AH29" s="3192"/>
      <c r="AI29" s="3192"/>
      <c r="AJ29" s="3192"/>
      <c r="AK29" s="261"/>
      <c r="AL29" s="261"/>
      <c r="AM29" s="215"/>
      <c r="AN29" s="302"/>
      <c r="AO29" s="302"/>
      <c r="AP29" s="302"/>
      <c r="AQ29" s="302"/>
      <c r="AR29" s="302"/>
      <c r="AS29" s="352">
        <v>0</v>
      </c>
    </row>
    <row r="30" spans="1:45" s="2028" customFormat="1" ht="18.75" hidden="1" customHeight="1">
      <c r="A30" s="1285"/>
      <c r="B30" s="1285"/>
      <c r="C30" s="1285"/>
      <c r="D30" s="1285"/>
      <c r="E30" s="1285"/>
      <c r="F30" s="1285"/>
      <c r="G30" s="1285"/>
      <c r="H30" s="1285"/>
      <c r="I30" s="1285"/>
      <c r="J30" s="1285"/>
      <c r="K30" s="1285"/>
      <c r="L30" s="1286"/>
      <c r="M30" s="1285"/>
      <c r="N30" s="1285"/>
      <c r="O30" s="1285"/>
      <c r="S30" s="3191" t="s">
        <v>455</v>
      </c>
      <c r="T30" s="3191"/>
      <c r="U30" s="1289"/>
      <c r="V30" s="3201">
        <f>IF(TITLE_DATE_PR_CHANGE="",IF(TITLE_DATE_PR="","",TITLE_DATE_PR),TITLE_DATE_PR_CHANGE)</f>
        <v>45408</v>
      </c>
      <c r="W30" s="3201"/>
      <c r="X30" s="3201"/>
      <c r="Y30" s="3201"/>
      <c r="Z30" s="3201"/>
      <c r="AA30" s="3201"/>
      <c r="AB30" s="3201"/>
      <c r="AC30" s="261"/>
      <c r="AD30" s="3201">
        <f>IF(TITLE_DATE_PR_CHANGE="",IF(TITLE_DATE_PR="","",TITLE_DATE_PR),TITLE_DATE_PR_CHANGE)</f>
        <v>45408</v>
      </c>
      <c r="AE30" s="3201"/>
      <c r="AF30" s="3201"/>
      <c r="AG30" s="3201"/>
      <c r="AH30" s="3201"/>
      <c r="AI30" s="3201"/>
      <c r="AJ30" s="3201"/>
      <c r="AK30" s="261"/>
      <c r="AL30" s="261"/>
      <c r="AM30" s="215"/>
      <c r="AN30" s="302"/>
      <c r="AO30" s="302"/>
      <c r="AP30" s="302"/>
      <c r="AQ30" s="302"/>
      <c r="AR30" s="302"/>
      <c r="AS30" s="352">
        <v>0</v>
      </c>
    </row>
    <row r="31" spans="1:45" s="2028" customFormat="1" ht="18.75" hidden="1" customHeight="1">
      <c r="A31" s="1285"/>
      <c r="B31" s="1285"/>
      <c r="C31" s="1285"/>
      <c r="D31" s="1285"/>
      <c r="E31" s="1285"/>
      <c r="F31" s="1285"/>
      <c r="G31" s="1285"/>
      <c r="H31" s="1285"/>
      <c r="I31" s="1285"/>
      <c r="J31" s="1285"/>
      <c r="K31" s="1285"/>
      <c r="L31" s="1286"/>
      <c r="M31" s="1285"/>
      <c r="N31" s="1285"/>
      <c r="O31" s="1285"/>
      <c r="S31" s="3191" t="s">
        <v>456</v>
      </c>
      <c r="T31" s="3191"/>
      <c r="U31" s="1289"/>
      <c r="V31" s="3192" t="str">
        <f>IF(TITLE_NUMBER_PR_CHANGE="",IF(TITLE_NUMBER_PR="","",TITLE_NUMBER_PR),TITLE_NUMBER_PR_CHANGE)</f>
        <v>04-24/132, 04-24/131</v>
      </c>
      <c r="W31" s="3192"/>
      <c r="X31" s="3192"/>
      <c r="Y31" s="3192"/>
      <c r="Z31" s="3192"/>
      <c r="AA31" s="3192"/>
      <c r="AB31" s="3192"/>
      <c r="AC31" s="261"/>
      <c r="AD31" s="3192" t="str">
        <f>IF(TITLE_NUMBER_PR_CHANGE="",IF(TITLE_NUMBER_PR="","",TITLE_NUMBER_PR),TITLE_NUMBER_PR_CHANGE)</f>
        <v>04-24/132, 04-24/131</v>
      </c>
      <c r="AE31" s="3192"/>
      <c r="AF31" s="3192"/>
      <c r="AG31" s="3192"/>
      <c r="AH31" s="3192"/>
      <c r="AI31" s="3192"/>
      <c r="AJ31" s="3192"/>
      <c r="AK31" s="261"/>
      <c r="AL31" s="261"/>
      <c r="AM31" s="215"/>
      <c r="AN31" s="302"/>
      <c r="AO31" s="302"/>
      <c r="AP31" s="302"/>
      <c r="AQ31" s="302"/>
      <c r="AR31" s="302"/>
      <c r="AS31" s="352">
        <v>0</v>
      </c>
    </row>
    <row r="32" spans="1:45" s="2028" customFormat="1" ht="18.75" hidden="1" customHeight="1">
      <c r="A32" s="1285"/>
      <c r="B32" s="1285"/>
      <c r="C32" s="1285"/>
      <c r="D32" s="1285"/>
      <c r="E32" s="1285"/>
      <c r="F32" s="1285"/>
      <c r="G32" s="1285"/>
      <c r="H32" s="1285"/>
      <c r="I32" s="1285"/>
      <c r="J32" s="1285"/>
      <c r="K32" s="1285"/>
      <c r="L32" s="1286"/>
      <c r="M32" s="1285"/>
      <c r="N32" s="1285"/>
      <c r="O32" s="1285"/>
      <c r="S32" s="3191" t="s">
        <v>43</v>
      </c>
      <c r="T32" s="3191"/>
      <c r="U32" s="1289"/>
      <c r="V32" s="3192" t="str">
        <f>IF(TITLE_IST_PUB_CHANGE="",IF(TITLE_IST_PUB="","",TITLE_IST_PUB),TITLE_IST_PUB_CHANGE)</f>
        <v/>
      </c>
      <c r="W32" s="3192"/>
      <c r="X32" s="3192"/>
      <c r="Y32" s="3192"/>
      <c r="Z32" s="3192"/>
      <c r="AA32" s="3192"/>
      <c r="AB32" s="3192"/>
      <c r="AC32" s="261"/>
      <c r="AD32" s="3192" t="str">
        <f>IF(TITLE_IST_PUB_CHANGE="",IF(TITLE_IST_PUB="","",TITLE_IST_PUB),TITLE_IST_PUB_CHANGE)</f>
        <v/>
      </c>
      <c r="AE32" s="3192"/>
      <c r="AF32" s="3192"/>
      <c r="AG32" s="3192"/>
      <c r="AH32" s="3192"/>
      <c r="AI32" s="3192"/>
      <c r="AJ32" s="3192"/>
      <c r="AK32" s="261"/>
      <c r="AL32" s="261"/>
      <c r="AM32" s="215"/>
      <c r="AN32" s="302"/>
      <c r="AO32" s="302"/>
      <c r="AP32" s="302"/>
      <c r="AQ32" s="302"/>
      <c r="AR32" s="302"/>
      <c r="AS32" s="352">
        <v>0</v>
      </c>
    </row>
    <row r="33" spans="1:45" ht="14.25" customHeight="1">
      <c r="Q33" s="310"/>
      <c r="R33" s="310"/>
      <c r="S33" s="1192"/>
      <c r="T33" s="297"/>
      <c r="U33" s="297"/>
      <c r="V33" s="257"/>
      <c r="W33" s="257"/>
      <c r="X33" s="257"/>
      <c r="Y33" s="257"/>
      <c r="Z33" s="257"/>
      <c r="AA33" s="257"/>
      <c r="AB33" s="257"/>
      <c r="AC33" s="257"/>
      <c r="AD33" s="257"/>
      <c r="AE33" s="257"/>
      <c r="AF33" s="257"/>
      <c r="AG33" s="257"/>
      <c r="AH33" s="257"/>
      <c r="AI33" s="257"/>
      <c r="AJ33" s="257"/>
      <c r="AK33" s="257"/>
      <c r="AL33" s="443"/>
      <c r="AS33" s="1072">
        <v>0</v>
      </c>
    </row>
    <row r="34" spans="1:45" s="2028" customFormat="1" ht="18.75" customHeight="1">
      <c r="A34" s="1285"/>
      <c r="B34" s="1285"/>
      <c r="C34" s="1285"/>
      <c r="D34" s="1285"/>
      <c r="E34" s="1285"/>
      <c r="F34" s="1285"/>
      <c r="G34" s="1285"/>
      <c r="H34" s="1285"/>
      <c r="I34" s="1285"/>
      <c r="J34" s="1285"/>
      <c r="K34" s="1285"/>
      <c r="L34" s="1286"/>
      <c r="M34" s="1285"/>
      <c r="N34" s="1285"/>
      <c r="O34" s="1285"/>
      <c r="S34" s="3191" t="s">
        <v>457</v>
      </c>
      <c r="T34" s="3191"/>
      <c r="U34" s="1289"/>
      <c r="V34" s="3201">
        <f>IF(TITLE_DATE_PR_CHANGE="",IF(TITLE_DATE_PR="","",TITLE_DATE_PR),TITLE_DATE_PR_CHANGE)</f>
        <v>45408</v>
      </c>
      <c r="W34" s="3201"/>
      <c r="X34" s="3201"/>
      <c r="Y34" s="3201"/>
      <c r="Z34" s="3201"/>
      <c r="AA34" s="3201"/>
      <c r="AB34" s="3201"/>
      <c r="AC34" s="261"/>
      <c r="AD34" s="3201">
        <f>IF(TITLE_DATE_PR_CHANGE="",IF(TITLE_DATE_PR="","",TITLE_DATE_PR),TITLE_DATE_PR_CHANGE)</f>
        <v>45408</v>
      </c>
      <c r="AE34" s="3201"/>
      <c r="AF34" s="3201"/>
      <c r="AG34" s="3201"/>
      <c r="AH34" s="3201"/>
      <c r="AI34" s="3201"/>
      <c r="AJ34" s="3201"/>
      <c r="AK34" s="261"/>
      <c r="AL34" s="261"/>
      <c r="AM34" s="215"/>
      <c r="AN34" s="302"/>
      <c r="AO34" s="302"/>
      <c r="AP34" s="302"/>
      <c r="AQ34" s="302"/>
      <c r="AR34" s="302"/>
      <c r="AS34" s="352">
        <v>0</v>
      </c>
    </row>
    <row r="35" spans="1:45" s="2028" customFormat="1" ht="18.75" customHeight="1">
      <c r="A35" s="1285"/>
      <c r="B35" s="1285"/>
      <c r="C35" s="1285"/>
      <c r="D35" s="1285"/>
      <c r="E35" s="1285"/>
      <c r="F35" s="1285"/>
      <c r="G35" s="1285"/>
      <c r="H35" s="1285"/>
      <c r="I35" s="1285"/>
      <c r="J35" s="1285"/>
      <c r="K35" s="1285"/>
      <c r="L35" s="1286"/>
      <c r="M35" s="1285"/>
      <c r="N35" s="1285"/>
      <c r="O35" s="1285"/>
      <c r="S35" s="3191" t="s">
        <v>458</v>
      </c>
      <c r="T35" s="3191"/>
      <c r="U35" s="1289"/>
      <c r="V35" s="3192" t="str">
        <f>IF(TITLE_NUMBER_PR_CHANGE="",IF(TITLE_NUMBER_PR="","",TITLE_NUMBER_PR),TITLE_NUMBER_PR_CHANGE)</f>
        <v>04-24/132, 04-24/131</v>
      </c>
      <c r="W35" s="3192"/>
      <c r="X35" s="3192"/>
      <c r="Y35" s="3192"/>
      <c r="Z35" s="3192"/>
      <c r="AA35" s="3192"/>
      <c r="AB35" s="3192"/>
      <c r="AC35" s="261"/>
      <c r="AD35" s="3192" t="str">
        <f>IF(TITLE_NUMBER_PR_CHANGE="",IF(TITLE_NUMBER_PR="","",TITLE_NUMBER_PR),TITLE_NUMBER_PR_CHANGE)</f>
        <v>04-24/132, 04-24/131</v>
      </c>
      <c r="AE35" s="3192"/>
      <c r="AF35" s="3192"/>
      <c r="AG35" s="3192"/>
      <c r="AH35" s="3192"/>
      <c r="AI35" s="3192"/>
      <c r="AJ35" s="3192"/>
      <c r="AK35" s="261"/>
      <c r="AL35" s="261"/>
      <c r="AM35" s="215"/>
      <c r="AN35" s="302"/>
      <c r="AO35" s="302"/>
      <c r="AP35" s="302"/>
      <c r="AQ35" s="302"/>
      <c r="AR35" s="302"/>
      <c r="AS35" s="352">
        <v>0</v>
      </c>
    </row>
    <row r="36" spans="1:45" s="2028" customFormat="1" ht="0" hidden="1" customHeight="1">
      <c r="A36" s="1285"/>
      <c r="B36" s="1285"/>
      <c r="C36" s="1285"/>
      <c r="D36" s="1285"/>
      <c r="E36" s="1285"/>
      <c r="F36" s="1285"/>
      <c r="G36" s="1285"/>
      <c r="H36" s="1285"/>
      <c r="I36" s="1285"/>
      <c r="J36" s="1285"/>
      <c r="K36" s="1285"/>
      <c r="L36" s="1286"/>
      <c r="M36" s="1285"/>
      <c r="N36" s="1285"/>
      <c r="O36" s="1285"/>
      <c r="S36" s="258"/>
      <c r="T36" s="258"/>
      <c r="U36" s="1257"/>
      <c r="V36" s="261"/>
      <c r="W36" s="261"/>
      <c r="X36" s="261"/>
      <c r="Y36" s="261"/>
      <c r="Z36" s="261"/>
      <c r="AA36" s="261"/>
      <c r="AB36" s="261"/>
      <c r="AC36" s="213" t="s">
        <v>459</v>
      </c>
      <c r="AD36" s="261"/>
      <c r="AE36" s="261"/>
      <c r="AF36" s="261"/>
      <c r="AG36" s="261"/>
      <c r="AH36" s="261"/>
      <c r="AI36" s="261"/>
      <c r="AJ36" s="261"/>
      <c r="AK36" s="213" t="s">
        <v>459</v>
      </c>
      <c r="AN36" s="302"/>
      <c r="AO36" s="302"/>
      <c r="AP36" s="302"/>
      <c r="AQ36" s="302"/>
      <c r="AR36" s="302"/>
      <c r="AS36" s="352">
        <v>0</v>
      </c>
    </row>
    <row r="37" spans="1:45" ht="14.65" customHeight="1">
      <c r="Q37" s="310"/>
      <c r="R37" s="310"/>
      <c r="S37" s="1192"/>
      <c r="T37" s="297"/>
      <c r="U37" s="1161"/>
      <c r="V37" s="3193"/>
      <c r="W37" s="3193"/>
      <c r="X37" s="3193"/>
      <c r="Y37" s="3193"/>
      <c r="Z37" s="3193"/>
      <c r="AA37" s="3193"/>
      <c r="AB37" s="3193"/>
      <c r="AC37" s="3193"/>
      <c r="AD37" s="3193"/>
      <c r="AE37" s="3193"/>
      <c r="AF37" s="3193"/>
      <c r="AG37" s="3193"/>
      <c r="AH37" s="3193"/>
      <c r="AI37" s="3193"/>
      <c r="AJ37" s="3193"/>
      <c r="AK37" s="3193"/>
      <c r="AS37" s="1072">
        <v>14</v>
      </c>
    </row>
    <row r="38" spans="1:45" ht="14.65" customHeight="1">
      <c r="Q38" s="310"/>
      <c r="R38" s="310"/>
      <c r="S38" s="3067" t="s">
        <v>335</v>
      </c>
      <c r="T38" s="3067"/>
      <c r="U38" s="3067"/>
      <c r="V38" s="3067"/>
      <c r="W38" s="3067"/>
      <c r="X38" s="3067"/>
      <c r="Y38" s="3067"/>
      <c r="Z38" s="3067"/>
      <c r="AA38" s="3067"/>
      <c r="AB38" s="3067"/>
      <c r="AC38" s="3067"/>
      <c r="AD38" s="3067"/>
      <c r="AE38" s="3067"/>
      <c r="AF38" s="3067"/>
      <c r="AG38" s="3067"/>
      <c r="AH38" s="3067"/>
      <c r="AI38" s="3067"/>
      <c r="AJ38" s="3067"/>
      <c r="AK38" s="3067"/>
      <c r="AL38" s="3067"/>
      <c r="AM38" s="3067" t="s">
        <v>336</v>
      </c>
      <c r="AS38" s="1072">
        <v>14</v>
      </c>
    </row>
    <row r="39" spans="1:45" ht="14.65" customHeight="1">
      <c r="Q39" s="310"/>
      <c r="R39" s="310"/>
      <c r="S39" s="3207" t="s">
        <v>89</v>
      </c>
      <c r="T39" s="3159" t="s">
        <v>460</v>
      </c>
      <c r="U39" s="236"/>
      <c r="V39" s="3208" t="s">
        <v>461</v>
      </c>
      <c r="W39" s="3209"/>
      <c r="X39" s="3225"/>
      <c r="Y39" s="3225"/>
      <c r="Z39" s="3209"/>
      <c r="AA39" s="3209"/>
      <c r="AB39" s="3210"/>
      <c r="AC39" s="3211" t="s">
        <v>462</v>
      </c>
      <c r="AD39" s="3208" t="s">
        <v>461</v>
      </c>
      <c r="AE39" s="3209"/>
      <c r="AF39" s="3225"/>
      <c r="AG39" s="3225"/>
      <c r="AH39" s="3209"/>
      <c r="AI39" s="3209"/>
      <c r="AJ39" s="3210"/>
      <c r="AK39" s="3211" t="s">
        <v>463</v>
      </c>
      <c r="AL39" s="3214" t="s">
        <v>464</v>
      </c>
      <c r="AM39" s="3067"/>
      <c r="AS39" s="1072">
        <v>14</v>
      </c>
    </row>
    <row r="40" spans="1:45" ht="24" customHeight="1">
      <c r="Q40" s="310"/>
      <c r="R40" s="310"/>
      <c r="S40" s="3207"/>
      <c r="T40" s="3159"/>
      <c r="U40" s="952"/>
      <c r="V40" s="3226" t="s">
        <v>465</v>
      </c>
      <c r="W40" s="3145" t="s">
        <v>466</v>
      </c>
      <c r="X40" s="1293" t="s">
        <v>467</v>
      </c>
      <c r="Y40" s="1293"/>
      <c r="Z40" s="3044" t="s">
        <v>468</v>
      </c>
      <c r="AA40" s="3044"/>
      <c r="AB40" s="3037"/>
      <c r="AC40" s="3212"/>
      <c r="AD40" s="3226" t="s">
        <v>465</v>
      </c>
      <c r="AE40" s="3145" t="s">
        <v>466</v>
      </c>
      <c r="AF40" s="1293" t="s">
        <v>467</v>
      </c>
      <c r="AG40" s="1293"/>
      <c r="AH40" s="3044" t="s">
        <v>468</v>
      </c>
      <c r="AI40" s="3044"/>
      <c r="AJ40" s="3037"/>
      <c r="AK40" s="3212"/>
      <c r="AL40" s="3215"/>
      <c r="AM40" s="3067"/>
      <c r="AS40" s="1072">
        <v>23</v>
      </c>
    </row>
    <row r="41" spans="1:45" s="2029" customFormat="1" ht="24" customHeight="1">
      <c r="A41" s="1287"/>
      <c r="B41" s="1287" t="s">
        <v>149</v>
      </c>
      <c r="C41" s="1287" t="s">
        <v>150</v>
      </c>
      <c r="D41" s="1287" t="s">
        <v>151</v>
      </c>
      <c r="E41" s="1281" t="s">
        <v>469</v>
      </c>
      <c r="F41" s="1281" t="s">
        <v>470</v>
      </c>
      <c r="G41" s="1281" t="s">
        <v>471</v>
      </c>
      <c r="H41" s="1281" t="s">
        <v>472</v>
      </c>
      <c r="I41" s="1281" t="s">
        <v>473</v>
      </c>
      <c r="J41" s="1281" t="s">
        <v>474</v>
      </c>
      <c r="K41" s="1281" t="s">
        <v>475</v>
      </c>
      <c r="L41" s="1281" t="s">
        <v>450</v>
      </c>
      <c r="M41" s="1279"/>
      <c r="N41" s="1279"/>
      <c r="O41" s="1279"/>
      <c r="P41" s="1245"/>
      <c r="Q41" s="310"/>
      <c r="R41" s="310"/>
      <c r="S41" s="3207"/>
      <c r="T41" s="3159"/>
      <c r="U41" s="237"/>
      <c r="V41" s="3227"/>
      <c r="W41" s="3150"/>
      <c r="X41" s="1290" t="s">
        <v>476</v>
      </c>
      <c r="Y41" s="1290" t="s">
        <v>477</v>
      </c>
      <c r="Z41" s="1251" t="s">
        <v>478</v>
      </c>
      <c r="AA41" s="3167" t="s">
        <v>479</v>
      </c>
      <c r="AB41" s="3169"/>
      <c r="AC41" s="3213"/>
      <c r="AD41" s="3227"/>
      <c r="AE41" s="3150"/>
      <c r="AF41" s="1290" t="s">
        <v>476</v>
      </c>
      <c r="AG41" s="1290" t="s">
        <v>477</v>
      </c>
      <c r="AH41" s="1251" t="s">
        <v>478</v>
      </c>
      <c r="AI41" s="3167" t="s">
        <v>479</v>
      </c>
      <c r="AJ41" s="3169"/>
      <c r="AK41" s="3213"/>
      <c r="AL41" s="3216"/>
      <c r="AM41" s="3067"/>
      <c r="AN41" s="445"/>
      <c r="AO41" s="434"/>
      <c r="AP41" s="434"/>
      <c r="AQ41" s="434"/>
      <c r="AR41" s="434"/>
      <c r="AS41" s="516">
        <v>23</v>
      </c>
    </row>
    <row r="42" spans="1:45" s="2212" customFormat="1" ht="11.25" hidden="1" customHeight="1">
      <c r="A42" s="1287"/>
      <c r="B42" s="1287"/>
      <c r="C42" s="1287"/>
      <c r="D42" s="1287"/>
      <c r="E42" s="1287"/>
      <c r="F42" s="1287"/>
      <c r="G42" s="1287"/>
      <c r="H42" s="1287"/>
      <c r="I42" s="1287"/>
      <c r="J42" s="1287"/>
      <c r="K42" s="1287"/>
      <c r="L42" s="1281"/>
      <c r="M42" s="1279"/>
      <c r="N42" s="1279"/>
      <c r="O42" s="1279"/>
      <c r="P42" s="1163"/>
      <c r="Q42" s="1164"/>
      <c r="R42" s="1171">
        <v>1</v>
      </c>
      <c r="S42" s="1194" t="s">
        <v>124</v>
      </c>
      <c r="T42" s="1172" t="s">
        <v>104</v>
      </c>
      <c r="U42" s="1162" t="str">
        <f ca="1">OFFSET(U42,0,-1)</f>
        <v>2</v>
      </c>
      <c r="V42" s="1252">
        <f ca="1">OFFSET(V42,0,-1)+1</f>
        <v>3</v>
      </c>
      <c r="W42" s="1252"/>
      <c r="X42" s="1258">
        <f ca="1">OFFSET(X42,0,-1)+1</f>
        <v>1</v>
      </c>
      <c r="Y42" s="1258">
        <f ca="1">OFFSET(Y42,0,-1)+1</f>
        <v>2</v>
      </c>
      <c r="Z42" s="1252">
        <f ca="1">OFFSET(Z42,0,-1)+1</f>
        <v>3</v>
      </c>
      <c r="AA42" s="3206">
        <f ca="1">OFFSET(AA42,0,-1)+1</f>
        <v>4</v>
      </c>
      <c r="AB42" s="3206"/>
      <c r="AC42" s="1252">
        <f ca="1">OFFSET(AC42,0,-2)+1</f>
        <v>5</v>
      </c>
      <c r="AD42" s="1252">
        <f ca="1">OFFSET(AD42,0,-1)+1</f>
        <v>6</v>
      </c>
      <c r="AE42" s="1252"/>
      <c r="AF42" s="1258">
        <f ca="1">OFFSET(AF42,0,-1)+1</f>
        <v>1</v>
      </c>
      <c r="AG42" s="1258">
        <f ca="1">OFFSET(AG42,0,-1)+1</f>
        <v>2</v>
      </c>
      <c r="AH42" s="1252">
        <f ca="1">OFFSET(AH42,0,-1)+1</f>
        <v>3</v>
      </c>
      <c r="AI42" s="3206">
        <f ca="1">OFFSET(AI42,0,-1)+1</f>
        <v>4</v>
      </c>
      <c r="AJ42" s="3206"/>
      <c r="AK42" s="1252">
        <f ca="1">OFFSET(AK42,0,-2)+1</f>
        <v>5</v>
      </c>
      <c r="AL42" s="1162">
        <f ca="1">OFFSET(AL42,0,-1)</f>
        <v>5</v>
      </c>
      <c r="AM42" s="1252">
        <f ca="1">OFFSET(AM42,0,-1)+1</f>
        <v>6</v>
      </c>
      <c r="AN42" s="445"/>
      <c r="AO42" s="445"/>
      <c r="AP42" s="445"/>
      <c r="AQ42" s="445"/>
      <c r="AR42" s="445"/>
      <c r="AS42" s="430">
        <v>0</v>
      </c>
    </row>
    <row r="43" spans="1:45" ht="22" customHeight="1">
      <c r="A43" s="1280" t="s">
        <v>229</v>
      </c>
      <c r="B43" s="1280"/>
      <c r="C43" s="1280"/>
      <c r="D43" s="1280"/>
      <c r="E43" s="3199">
        <v>1</v>
      </c>
      <c r="F43" s="1280"/>
      <c r="G43" s="1280"/>
      <c r="H43" s="1280"/>
      <c r="I43" s="1280"/>
      <c r="J43" s="1280"/>
      <c r="K43" s="1280"/>
      <c r="L43" s="1281"/>
      <c r="M43" s="1282"/>
      <c r="N43" s="1282"/>
      <c r="O43" s="1282"/>
      <c r="P43" s="295"/>
      <c r="Q43" s="294"/>
      <c r="R43" s="289"/>
      <c r="S43" s="1253">
        <f>INDEX(PT_DIFFERENTIATION_NUM_NTAR,MATCH(A43,PT_DIFFERENTIATION_NTAR_ID,0))</f>
        <v>0</v>
      </c>
      <c r="T43" s="233" t="s">
        <v>137</v>
      </c>
      <c r="U43" s="235"/>
      <c r="V43" s="3185"/>
      <c r="W43" s="3186"/>
      <c r="X43" s="3186"/>
      <c r="Y43" s="3186"/>
      <c r="Z43" s="3186"/>
      <c r="AA43" s="3186"/>
      <c r="AB43" s="3186"/>
      <c r="AC43" s="3187"/>
      <c r="AD43" s="3185" t="str">
        <f>INDEX(PT_DIFFERENTIATION_NTAR,MATCH(A43,PT_DIFFERENTIATION_NTAR_ID,0))</f>
        <v/>
      </c>
      <c r="AE43" s="3186"/>
      <c r="AF43" s="3186"/>
      <c r="AG43" s="3186"/>
      <c r="AH43" s="3186"/>
      <c r="AI43" s="3186"/>
      <c r="AJ43" s="3186"/>
      <c r="AK43" s="3186"/>
      <c r="AL43" s="3187"/>
      <c r="AM43" s="117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4"/>
      <c r="AP43" s="434" t="str">
        <f t="shared" ref="AP43:AP57" si="1">IF(T43="","",T43)</f>
        <v>Наименование тарифа</v>
      </c>
      <c r="AQ43" s="434"/>
      <c r="AR43" s="434"/>
      <c r="AS43" s="1072">
        <v>21</v>
      </c>
    </row>
    <row r="44" spans="1:45" ht="22" customHeight="1">
      <c r="A44" s="1280" t="s">
        <v>229</v>
      </c>
      <c r="B44" s="1280" t="s">
        <v>230</v>
      </c>
      <c r="C44" s="1280"/>
      <c r="D44" s="1280"/>
      <c r="E44" s="3200"/>
      <c r="F44" s="3199">
        <v>1</v>
      </c>
      <c r="G44" s="1280"/>
      <c r="H44" s="1280"/>
      <c r="I44" s="1280"/>
      <c r="J44" s="1280"/>
      <c r="K44" s="1280"/>
      <c r="L44" s="1281"/>
      <c r="M44" s="1282"/>
      <c r="N44" s="1282"/>
      <c r="O44" s="1282"/>
      <c r="P44" s="1249"/>
      <c r="Q44" s="286"/>
      <c r="R44" s="287"/>
      <c r="S44" s="1253" t="str">
        <f>INDEX(PT_DIFFERENTIATION_NUM_TER,MATCH(B44,PT_DIFFERENTIATION_TER_ID,0))</f>
        <v>.</v>
      </c>
      <c r="T44" s="243" t="s">
        <v>432</v>
      </c>
      <c r="U44" s="235"/>
      <c r="V44" s="3185"/>
      <c r="W44" s="3186"/>
      <c r="X44" s="3186"/>
      <c r="Y44" s="3186"/>
      <c r="Z44" s="3186"/>
      <c r="AA44" s="3186"/>
      <c r="AB44" s="3186"/>
      <c r="AC44" s="3187"/>
      <c r="AD44" s="3185" t="str">
        <f>INDEX(PT_DIFFERENTIATION_TER,MATCH(B44,PT_DIFFERENTIATION_TER_ID,0))</f>
        <v/>
      </c>
      <c r="AE44" s="3186"/>
      <c r="AF44" s="3186"/>
      <c r="AG44" s="3186"/>
      <c r="AH44" s="3186"/>
      <c r="AI44" s="3186"/>
      <c r="AJ44" s="3186"/>
      <c r="AK44" s="3186"/>
      <c r="AL44" s="3187"/>
      <c r="AM44" s="1175" t="s">
        <v>433</v>
      </c>
      <c r="AO44" s="434"/>
      <c r="AP44" s="434" t="str">
        <f t="shared" si="1"/>
        <v>Территория действия тарифа</v>
      </c>
      <c r="AQ44" s="434"/>
      <c r="AR44" s="434"/>
      <c r="AS44" s="1072">
        <v>21</v>
      </c>
    </row>
    <row r="45" spans="1:45" ht="24" customHeight="1">
      <c r="A45" s="1280" t="s">
        <v>229</v>
      </c>
      <c r="B45" s="1280" t="s">
        <v>230</v>
      </c>
      <c r="C45" s="1280" t="s">
        <v>231</v>
      </c>
      <c r="D45" s="1280"/>
      <c r="E45" s="3200"/>
      <c r="F45" s="3200"/>
      <c r="G45" s="3199">
        <v>1</v>
      </c>
      <c r="H45" s="1280"/>
      <c r="I45" s="1280"/>
      <c r="J45" s="1280"/>
      <c r="K45" s="1280"/>
      <c r="L45" s="1281"/>
      <c r="M45" s="1282"/>
      <c r="N45" s="1282"/>
      <c r="O45" s="1282"/>
      <c r="P45" s="288"/>
      <c r="Q45" s="286"/>
      <c r="R45" s="287"/>
      <c r="S45" s="1253" t="str">
        <f>INDEX(PT_DIFFERENTIATION_NUM_CS,MATCH(C45,PT_DIFFERENTIATION_CS_ID,0))</f>
        <v>..</v>
      </c>
      <c r="T45" s="244" t="s">
        <v>434</v>
      </c>
      <c r="U45" s="235"/>
      <c r="V45" s="3185"/>
      <c r="W45" s="3186"/>
      <c r="X45" s="3186"/>
      <c r="Y45" s="3186"/>
      <c r="Z45" s="3186"/>
      <c r="AA45" s="3186"/>
      <c r="AB45" s="3186"/>
      <c r="AC45" s="3187"/>
      <c r="AD45" s="3185" t="str">
        <f>INDEX(PT_DIFFERENTIATION_CS,MATCH(C45,PT_DIFFERENTIATION_CS_ID,0))</f>
        <v/>
      </c>
      <c r="AE45" s="3186"/>
      <c r="AF45" s="3186"/>
      <c r="AG45" s="3186"/>
      <c r="AH45" s="3186"/>
      <c r="AI45" s="3186"/>
      <c r="AJ45" s="3186"/>
      <c r="AK45" s="3186"/>
      <c r="AL45" s="3187"/>
      <c r="AM45" s="1175" t="s">
        <v>435</v>
      </c>
      <c r="AO45" s="434"/>
      <c r="AP45" s="434" t="str">
        <f t="shared" si="1"/>
        <v xml:space="preserve">Наименование системы теплоснабжения </v>
      </c>
      <c r="AQ45" s="434"/>
      <c r="AR45" s="434"/>
      <c r="AS45" s="1072">
        <v>23</v>
      </c>
    </row>
    <row r="46" spans="1:45" ht="22" customHeight="1">
      <c r="A46" s="1280" t="s">
        <v>229</v>
      </c>
      <c r="B46" s="1280" t="s">
        <v>230</v>
      </c>
      <c r="C46" s="1280" t="s">
        <v>231</v>
      </c>
      <c r="D46" s="1280" t="s">
        <v>232</v>
      </c>
      <c r="E46" s="3200"/>
      <c r="F46" s="3200"/>
      <c r="G46" s="3200"/>
      <c r="H46" s="3199">
        <v>1</v>
      </c>
      <c r="I46" s="1280"/>
      <c r="J46" s="1280"/>
      <c r="K46" s="1280"/>
      <c r="L46" s="1281"/>
      <c r="M46" s="1282"/>
      <c r="N46" s="1282"/>
      <c r="O46" s="1282"/>
      <c r="P46" s="288"/>
      <c r="Q46" s="286"/>
      <c r="R46" s="287"/>
      <c r="S46" s="1253" t="str">
        <f>INDEX(PT_DIFFERENTIATION_NUM_IST_TE,MATCH(D46,PT_DIFFERENTIATION_IST_TE_ID,0))</f>
        <v>...</v>
      </c>
      <c r="T46" s="245" t="s">
        <v>436</v>
      </c>
      <c r="U46" s="235"/>
      <c r="V46" s="3185"/>
      <c r="W46" s="3186"/>
      <c r="X46" s="3186"/>
      <c r="Y46" s="3186"/>
      <c r="Z46" s="3186"/>
      <c r="AA46" s="3186"/>
      <c r="AB46" s="3186"/>
      <c r="AC46" s="3187"/>
      <c r="AD46" s="3185" t="str">
        <f>INDEX(PT_DIFFERENTIATION_IST_TE,MATCH(D46,PT_DIFFERENTIATION_IST_TE_ID,0))</f>
        <v/>
      </c>
      <c r="AE46" s="3186"/>
      <c r="AF46" s="3186"/>
      <c r="AG46" s="3186"/>
      <c r="AH46" s="3186"/>
      <c r="AI46" s="3186"/>
      <c r="AJ46" s="3186"/>
      <c r="AK46" s="3186"/>
      <c r="AL46" s="3187"/>
      <c r="AM46" s="1175" t="s">
        <v>437</v>
      </c>
      <c r="AO46" s="434"/>
      <c r="AP46" s="434" t="str">
        <f t="shared" si="1"/>
        <v xml:space="preserve">Источник тепловой энергии  </v>
      </c>
      <c r="AQ46" s="434"/>
      <c r="AR46" s="434"/>
      <c r="AS46" s="1072">
        <v>21</v>
      </c>
    </row>
    <row r="47" spans="1:45" ht="49.5" customHeight="1">
      <c r="A47" s="1280" t="s">
        <v>229</v>
      </c>
      <c r="B47" s="1280" t="s">
        <v>230</v>
      </c>
      <c r="C47" s="1280" t="s">
        <v>231</v>
      </c>
      <c r="D47" s="1280" t="s">
        <v>232</v>
      </c>
      <c r="E47" s="3200"/>
      <c r="F47" s="3200"/>
      <c r="G47" s="3200"/>
      <c r="H47" s="3200"/>
      <c r="I47" s="3197" t="str">
        <f>S46&amp;".1"</f>
        <v>....1</v>
      </c>
      <c r="J47" s="1280"/>
      <c r="K47" s="1280"/>
      <c r="L47" s="1281" t="s">
        <v>438</v>
      </c>
      <c r="P47" s="3198">
        <v>1</v>
      </c>
      <c r="Q47" s="1248"/>
      <c r="R47" s="290"/>
      <c r="S47" s="1253" t="str">
        <f>$I47</f>
        <v>....1</v>
      </c>
      <c r="T47" s="220" t="s">
        <v>439</v>
      </c>
      <c r="U47" s="235"/>
      <c r="V47" s="3188"/>
      <c r="W47" s="3189"/>
      <c r="X47" s="3189"/>
      <c r="Y47" s="3189"/>
      <c r="Z47" s="3189"/>
      <c r="AA47" s="3189"/>
      <c r="AB47" s="3189"/>
      <c r="AC47" s="3190"/>
      <c r="AD47" s="3188"/>
      <c r="AE47" s="3189"/>
      <c r="AF47" s="3189"/>
      <c r="AG47" s="3189"/>
      <c r="AH47" s="3189"/>
      <c r="AI47" s="3189"/>
      <c r="AJ47" s="3189"/>
      <c r="AK47" s="3189"/>
      <c r="AL47" s="3190"/>
      <c r="AM47" s="1175" t="s">
        <v>440</v>
      </c>
      <c r="AO47" s="434"/>
      <c r="AP47" s="434" t="str">
        <f t="shared" si="1"/>
        <v>Схема подключения теплопотребляющей установки к коллектору источника тепловой энергии</v>
      </c>
      <c r="AQ47" s="434"/>
      <c r="AR47" s="434"/>
      <c r="AS47" s="1072">
        <v>47</v>
      </c>
    </row>
    <row r="48" spans="1:45" ht="22" customHeight="1">
      <c r="A48" s="1280" t="s">
        <v>229</v>
      </c>
      <c r="B48" s="1280" t="s">
        <v>230</v>
      </c>
      <c r="C48" s="1280" t="s">
        <v>231</v>
      </c>
      <c r="D48" s="1280" t="s">
        <v>232</v>
      </c>
      <c r="E48" s="3200"/>
      <c r="F48" s="3200"/>
      <c r="G48" s="3200"/>
      <c r="H48" s="3200"/>
      <c r="I48" s="3220"/>
      <c r="J48" s="3197" t="str">
        <f>I47&amp;".1"</f>
        <v>....1.1</v>
      </c>
      <c r="K48" s="1280"/>
      <c r="L48" s="1281" t="s">
        <v>441</v>
      </c>
      <c r="P48" s="3198"/>
      <c r="Q48" s="3198">
        <v>1</v>
      </c>
      <c r="R48" s="291"/>
      <c r="S48" s="1253" t="str">
        <f>$J48</f>
        <v>....1.1</v>
      </c>
      <c r="T48" s="221" t="s">
        <v>442</v>
      </c>
      <c r="U48" s="235"/>
      <c r="V48" s="3188"/>
      <c r="W48" s="3189"/>
      <c r="X48" s="3189"/>
      <c r="Y48" s="3189"/>
      <c r="Z48" s="3189"/>
      <c r="AA48" s="3189"/>
      <c r="AB48" s="3189"/>
      <c r="AC48" s="3190"/>
      <c r="AD48" s="3188"/>
      <c r="AE48" s="3189"/>
      <c r="AF48" s="3189"/>
      <c r="AG48" s="3189"/>
      <c r="AH48" s="3189"/>
      <c r="AI48" s="3189"/>
      <c r="AJ48" s="3189"/>
      <c r="AK48" s="3189"/>
      <c r="AL48" s="3190"/>
      <c r="AM48" s="1175" t="s">
        <v>443</v>
      </c>
      <c r="AO48" s="434"/>
      <c r="AP48" s="434" t="str">
        <f t="shared" si="1"/>
        <v>Группа потребителей</v>
      </c>
      <c r="AQ48" s="434"/>
      <c r="AR48" s="434"/>
      <c r="AS48" s="1072">
        <v>21</v>
      </c>
    </row>
    <row r="49" spans="1:45" ht="22" customHeight="1">
      <c r="A49" s="1280" t="s">
        <v>229</v>
      </c>
      <c r="B49" s="1280" t="s">
        <v>230</v>
      </c>
      <c r="C49" s="1280" t="s">
        <v>231</v>
      </c>
      <c r="D49" s="1280" t="s">
        <v>232</v>
      </c>
      <c r="E49" s="3200"/>
      <c r="F49" s="3200"/>
      <c r="G49" s="3200"/>
      <c r="H49" s="3200"/>
      <c r="I49" s="3220"/>
      <c r="J49" s="3220"/>
      <c r="K49" s="3197" t="str">
        <f>J48&amp;".1"</f>
        <v>....1.1.1</v>
      </c>
      <c r="L49" s="1281" t="s">
        <v>444</v>
      </c>
      <c r="P49" s="3198"/>
      <c r="Q49" s="3198"/>
      <c r="R49" s="291">
        <v>1</v>
      </c>
      <c r="S49" s="1253" t="str">
        <f>$K49</f>
        <v>....1.1.1</v>
      </c>
      <c r="T49" s="1264"/>
      <c r="U49" s="235"/>
      <c r="V49" s="260"/>
      <c r="W49" s="685"/>
      <c r="X49" s="260"/>
      <c r="Y49" s="318"/>
      <c r="Z49" s="3202"/>
      <c r="AA49" s="3048" t="s">
        <v>67</v>
      </c>
      <c r="AB49" s="3202"/>
      <c r="AC49" s="3048" t="s">
        <v>67</v>
      </c>
      <c r="AD49" s="260"/>
      <c r="AE49" s="685"/>
      <c r="AF49" s="260"/>
      <c r="AG49" s="318"/>
      <c r="AH49" s="3202"/>
      <c r="AI49" s="3048" t="s">
        <v>67</v>
      </c>
      <c r="AJ49" s="3221"/>
      <c r="AK49" s="3048" t="s">
        <v>67</v>
      </c>
      <c r="AL49" s="1265"/>
      <c r="AM49" s="3194" t="s">
        <v>445</v>
      </c>
      <c r="AN49" s="445" t="e">
        <f ca="1">STRCHECKDATE(V50:AL50)</f>
        <v>#NAME?</v>
      </c>
      <c r="AO49" s="434"/>
      <c r="AP49" s="434" t="str">
        <f t="shared" si="1"/>
        <v/>
      </c>
      <c r="AQ49" s="434"/>
      <c r="AR49" s="434"/>
      <c r="AS49" s="1072">
        <v>21</v>
      </c>
    </row>
    <row r="50" spans="1:45" ht="1" customHeight="1">
      <c r="A50" s="1280" t="s">
        <v>229</v>
      </c>
      <c r="B50" s="1280" t="s">
        <v>230</v>
      </c>
      <c r="C50" s="1280" t="s">
        <v>231</v>
      </c>
      <c r="D50" s="1280" t="s">
        <v>232</v>
      </c>
      <c r="E50" s="3200"/>
      <c r="F50" s="3200"/>
      <c r="G50" s="3200"/>
      <c r="H50" s="3200"/>
      <c r="I50" s="3220"/>
      <c r="J50" s="3220"/>
      <c r="K50" s="3197"/>
      <c r="L50" s="1281"/>
      <c r="P50" s="3198"/>
      <c r="Q50" s="3198"/>
      <c r="R50" s="291"/>
      <c r="S50" s="1259"/>
      <c r="T50" s="235"/>
      <c r="U50" s="235"/>
      <c r="V50" s="260"/>
      <c r="W50" s="260"/>
      <c r="X50" s="260"/>
      <c r="Y50" s="263" t="str">
        <f>Z49&amp;"-"&amp;AB49</f>
        <v>-</v>
      </c>
      <c r="Z50" s="3203"/>
      <c r="AA50" s="3048"/>
      <c r="AB50" s="3203"/>
      <c r="AC50" s="3048"/>
      <c r="AD50" s="260"/>
      <c r="AE50" s="260"/>
      <c r="AF50" s="260"/>
      <c r="AG50" s="263" t="str">
        <f>AH49&amp;"-"&amp;AJ49</f>
        <v>-</v>
      </c>
      <c r="AH50" s="3203"/>
      <c r="AI50" s="3048"/>
      <c r="AJ50" s="3222"/>
      <c r="AK50" s="3048"/>
      <c r="AL50" s="1266"/>
      <c r="AM50" s="3195"/>
      <c r="AO50" s="434"/>
      <c r="AP50" s="434" t="str">
        <f t="shared" si="1"/>
        <v/>
      </c>
      <c r="AQ50" s="434"/>
      <c r="AR50" s="434"/>
      <c r="AS50" s="1072">
        <v>1</v>
      </c>
    </row>
    <row r="51" spans="1:45" ht="11.5" customHeight="1">
      <c r="A51" s="1280" t="s">
        <v>229</v>
      </c>
      <c r="B51" s="1280" t="s">
        <v>230</v>
      </c>
      <c r="C51" s="1280" t="s">
        <v>231</v>
      </c>
      <c r="D51" s="1280" t="s">
        <v>232</v>
      </c>
      <c r="E51" s="3200"/>
      <c r="F51" s="3200"/>
      <c r="G51" s="3200"/>
      <c r="H51" s="3200"/>
      <c r="I51" s="3220"/>
      <c r="J51" s="3197"/>
      <c r="K51" s="1280"/>
      <c r="L51" s="1281"/>
      <c r="P51" s="3198"/>
      <c r="Q51" s="3198"/>
      <c r="R51" s="290"/>
      <c r="S51" s="1195"/>
      <c r="T51" s="223" t="s">
        <v>446</v>
      </c>
      <c r="U51" s="301"/>
      <c r="V51" s="301"/>
      <c r="W51" s="301"/>
      <c r="X51" s="301"/>
      <c r="Y51" s="301"/>
      <c r="Z51" s="301"/>
      <c r="AA51" s="301"/>
      <c r="AB51" s="301"/>
      <c r="AC51" s="301"/>
      <c r="AD51" s="301"/>
      <c r="AE51" s="301"/>
      <c r="AF51" s="301"/>
      <c r="AG51" s="301"/>
      <c r="AH51" s="301"/>
      <c r="AI51" s="301"/>
      <c r="AJ51" s="301"/>
      <c r="AK51" s="301"/>
      <c r="AL51" s="259"/>
      <c r="AM51" s="3196"/>
      <c r="AO51" s="434"/>
      <c r="AP51" s="434" t="str">
        <f t="shared" si="1"/>
        <v>Добавить вид теплоносителя (параметры теплоносителя)</v>
      </c>
      <c r="AQ51" s="434"/>
      <c r="AR51" s="434"/>
      <c r="AS51" s="1072">
        <v>11</v>
      </c>
    </row>
    <row r="52" spans="1:45" ht="11.5" customHeight="1">
      <c r="A52" s="1280" t="s">
        <v>229</v>
      </c>
      <c r="B52" s="1280" t="s">
        <v>230</v>
      </c>
      <c r="C52" s="1280" t="s">
        <v>231</v>
      </c>
      <c r="D52" s="1280" t="s">
        <v>232</v>
      </c>
      <c r="E52" s="3200"/>
      <c r="F52" s="3200"/>
      <c r="G52" s="3200"/>
      <c r="H52" s="3200"/>
      <c r="I52" s="3197"/>
      <c r="J52" s="1280"/>
      <c r="K52" s="1280"/>
      <c r="L52" s="1281"/>
      <c r="P52" s="3198"/>
      <c r="Q52" s="1248"/>
      <c r="R52" s="290"/>
      <c r="S52" s="1195"/>
      <c r="T52" s="222" t="s">
        <v>447</v>
      </c>
      <c r="U52" s="301"/>
      <c r="V52" s="301"/>
      <c r="W52" s="301"/>
      <c r="X52" s="301"/>
      <c r="Y52" s="301"/>
      <c r="Z52" s="301"/>
      <c r="AA52" s="301"/>
      <c r="AB52" s="301"/>
      <c r="AC52" s="300"/>
      <c r="AD52" s="301"/>
      <c r="AE52" s="301"/>
      <c r="AF52" s="301"/>
      <c r="AG52" s="301"/>
      <c r="AH52" s="301"/>
      <c r="AI52" s="301"/>
      <c r="AJ52" s="301"/>
      <c r="AK52" s="300"/>
      <c r="AL52" s="301"/>
      <c r="AM52" s="238"/>
      <c r="AO52" s="434"/>
      <c r="AP52" s="434" t="str">
        <f t="shared" si="1"/>
        <v>Добавить группу потребителей</v>
      </c>
      <c r="AQ52" s="434"/>
      <c r="AR52" s="434"/>
      <c r="AS52" s="1072">
        <v>11</v>
      </c>
    </row>
    <row r="53" spans="1:45" ht="14.65" customHeight="1">
      <c r="A53" s="1280" t="s">
        <v>229</v>
      </c>
      <c r="B53" s="1280" t="s">
        <v>230</v>
      </c>
      <c r="C53" s="1280" t="s">
        <v>231</v>
      </c>
      <c r="D53" s="1280" t="s">
        <v>232</v>
      </c>
      <c r="E53" s="3200"/>
      <c r="F53" s="3200"/>
      <c r="G53" s="3200"/>
      <c r="H53" s="3199"/>
      <c r="I53" s="1280"/>
      <c r="J53" s="1280"/>
      <c r="K53" s="1280"/>
      <c r="L53" s="1281"/>
      <c r="M53" s="1282"/>
      <c r="N53" s="1282"/>
      <c r="O53" s="471"/>
      <c r="P53" s="294"/>
      <c r="Q53" s="309"/>
      <c r="R53" s="289"/>
      <c r="S53" s="1195"/>
      <c r="T53" s="299" t="s">
        <v>448</v>
      </c>
      <c r="U53" s="301"/>
      <c r="V53" s="301"/>
      <c r="W53" s="301"/>
      <c r="X53" s="301"/>
      <c r="Y53" s="301"/>
      <c r="Z53" s="301"/>
      <c r="AA53" s="301"/>
      <c r="AB53" s="301"/>
      <c r="AC53" s="300"/>
      <c r="AD53" s="301"/>
      <c r="AE53" s="301"/>
      <c r="AF53" s="301"/>
      <c r="AG53" s="301"/>
      <c r="AH53" s="301"/>
      <c r="AI53" s="301"/>
      <c r="AJ53" s="301"/>
      <c r="AK53" s="300"/>
      <c r="AL53" s="301"/>
      <c r="AM53" s="238"/>
      <c r="AO53" s="434"/>
      <c r="AP53" s="434" t="str">
        <f t="shared" si="1"/>
        <v>Добавить схему подключения</v>
      </c>
      <c r="AQ53" s="434"/>
      <c r="AR53" s="434"/>
      <c r="AS53" s="1072">
        <v>14</v>
      </c>
    </row>
    <row r="54" spans="1:45" s="2017" customFormat="1" ht="1" customHeight="1">
      <c r="A54" s="1260" t="s">
        <v>229</v>
      </c>
      <c r="B54" s="1260" t="s">
        <v>230</v>
      </c>
      <c r="C54" s="1260" t="s">
        <v>231</v>
      </c>
      <c r="D54" s="1231"/>
      <c r="E54" s="3200"/>
      <c r="F54" s="3200"/>
      <c r="G54" s="3199"/>
      <c r="H54" s="1231"/>
      <c r="I54" s="1231"/>
      <c r="J54" s="1231"/>
      <c r="K54" s="1231"/>
      <c r="L54" s="1256"/>
      <c r="M54" s="1232"/>
      <c r="N54" s="1232"/>
      <c r="P54" s="1233"/>
      <c r="Q54" s="1234"/>
      <c r="R54" s="1233"/>
      <c r="S54" s="1239"/>
      <c r="T54" s="1242" t="s">
        <v>180</v>
      </c>
      <c r="U54" s="1241"/>
      <c r="V54" s="1241"/>
      <c r="W54" s="1241"/>
      <c r="X54" s="1241"/>
      <c r="Y54" s="1241"/>
      <c r="Z54" s="1241"/>
      <c r="AA54" s="1241"/>
      <c r="AB54" s="1241"/>
      <c r="AC54" s="1241"/>
      <c r="AD54" s="1241"/>
      <c r="AE54" s="1241"/>
      <c r="AF54" s="1241"/>
      <c r="AG54" s="1241"/>
      <c r="AH54" s="1241"/>
      <c r="AI54" s="1241"/>
      <c r="AJ54" s="1241"/>
      <c r="AK54" s="1241"/>
      <c r="AL54" s="1241"/>
      <c r="AM54" s="1241"/>
      <c r="AO54" s="717"/>
      <c r="AP54" s="717" t="str">
        <f t="shared" si="1"/>
        <v>Добавить источник для дифференциации</v>
      </c>
      <c r="AQ54" s="717"/>
      <c r="AR54" s="717"/>
      <c r="AS54" s="452">
        <v>1</v>
      </c>
    </row>
    <row r="55" spans="1:45" s="2017" customFormat="1" ht="1" customHeight="1">
      <c r="A55" s="1260" t="s">
        <v>229</v>
      </c>
      <c r="B55" s="1260" t="s">
        <v>230</v>
      </c>
      <c r="C55" s="1231"/>
      <c r="D55" s="1231"/>
      <c r="E55" s="3200"/>
      <c r="F55" s="3199"/>
      <c r="G55" s="1231"/>
      <c r="H55" s="1231"/>
      <c r="I55" s="1231"/>
      <c r="J55" s="1231"/>
      <c r="K55" s="1231"/>
      <c r="L55" s="1256"/>
      <c r="M55" s="1238"/>
      <c r="N55" s="1238"/>
      <c r="P55" s="1233"/>
      <c r="Q55" s="1234"/>
      <c r="R55" s="1233"/>
      <c r="S55" s="1239"/>
      <c r="T55" s="1242" t="s">
        <v>181</v>
      </c>
      <c r="U55" s="1241"/>
      <c r="V55" s="1241"/>
      <c r="W55" s="1241"/>
      <c r="X55" s="1241"/>
      <c r="Y55" s="1241"/>
      <c r="Z55" s="1241"/>
      <c r="AA55" s="1241"/>
      <c r="AB55" s="1241"/>
      <c r="AC55" s="1241"/>
      <c r="AD55" s="1241"/>
      <c r="AE55" s="1241"/>
      <c r="AF55" s="1241"/>
      <c r="AG55" s="1241"/>
      <c r="AH55" s="1241"/>
      <c r="AI55" s="1241"/>
      <c r="AJ55" s="1241"/>
      <c r="AK55" s="1241"/>
      <c r="AL55" s="1241"/>
      <c r="AM55" s="1241"/>
      <c r="AO55" s="717"/>
      <c r="AP55" s="717" t="str">
        <f t="shared" si="1"/>
        <v>Добавить централизованную систему для дифференциации</v>
      </c>
      <c r="AQ55" s="717"/>
      <c r="AR55" s="717"/>
      <c r="AS55" s="452">
        <v>1</v>
      </c>
    </row>
    <row r="56" spans="1:45" s="2017" customFormat="1" ht="1" customHeight="1">
      <c r="A56" s="1260" t="s">
        <v>229</v>
      </c>
      <c r="B56" s="1260"/>
      <c r="C56" s="1260"/>
      <c r="D56" s="1260"/>
      <c r="E56" s="3199"/>
      <c r="F56" s="1260"/>
      <c r="G56" s="1260"/>
      <c r="H56" s="1260"/>
      <c r="I56" s="1260"/>
      <c r="J56" s="1260"/>
      <c r="K56" s="1260"/>
      <c r="L56" s="1263"/>
      <c r="M56" s="1238"/>
      <c r="N56" s="1238"/>
      <c r="O56" s="452"/>
      <c r="P56" s="314"/>
      <c r="Q56" s="1261"/>
      <c r="R56" s="314"/>
      <c r="S56" s="1239"/>
      <c r="T56" s="1242" t="s">
        <v>188</v>
      </c>
      <c r="U56" s="1241"/>
      <c r="V56" s="1241"/>
      <c r="W56" s="1241"/>
      <c r="X56" s="1241"/>
      <c r="Y56" s="1241"/>
      <c r="Z56" s="1241"/>
      <c r="AA56" s="1241"/>
      <c r="AB56" s="1241"/>
      <c r="AC56" s="1241"/>
      <c r="AD56" s="1241"/>
      <c r="AE56" s="1241"/>
      <c r="AF56" s="1241"/>
      <c r="AG56" s="1241"/>
      <c r="AH56" s="1241"/>
      <c r="AI56" s="1241"/>
      <c r="AJ56" s="1241"/>
      <c r="AK56" s="1241"/>
      <c r="AL56" s="1241"/>
      <c r="AM56" s="1241"/>
      <c r="AO56" s="434"/>
      <c r="AP56" s="434" t="str">
        <f t="shared" si="1"/>
        <v>Добавить территорию для дифференциации</v>
      </c>
      <c r="AQ56" s="434"/>
      <c r="AR56" s="434"/>
      <c r="AS56" s="445">
        <v>1</v>
      </c>
    </row>
    <row r="57" spans="1:45" s="2017" customFormat="1" ht="1" customHeight="1">
      <c r="A57" s="1231"/>
      <c r="B57" s="1231"/>
      <c r="C57" s="1231"/>
      <c r="D57" s="1231"/>
      <c r="E57" s="1260"/>
      <c r="F57" s="1231"/>
      <c r="G57" s="1231"/>
      <c r="H57" s="1231"/>
      <c r="I57" s="1231"/>
      <c r="J57" s="1231"/>
      <c r="K57" s="1231"/>
      <c r="L57" s="1256"/>
      <c r="M57" s="1238"/>
      <c r="N57" s="1238"/>
      <c r="P57" s="1233"/>
      <c r="Q57" s="1234"/>
      <c r="R57" s="1233"/>
      <c r="S57" s="1239"/>
      <c r="T57" s="1242" t="s">
        <v>189</v>
      </c>
      <c r="U57" s="1241"/>
      <c r="V57" s="1241"/>
      <c r="W57" s="1241"/>
      <c r="X57" s="1241"/>
      <c r="Y57" s="1241"/>
      <c r="Z57" s="1241"/>
      <c r="AA57" s="1241"/>
      <c r="AB57" s="1241"/>
      <c r="AC57" s="1241"/>
      <c r="AD57" s="1241"/>
      <c r="AE57" s="1241"/>
      <c r="AF57" s="1241"/>
      <c r="AG57" s="1241"/>
      <c r="AH57" s="1241"/>
      <c r="AI57" s="1241"/>
      <c r="AJ57" s="1241"/>
      <c r="AK57" s="1241"/>
      <c r="AL57" s="1241"/>
      <c r="AM57" s="1241"/>
      <c r="AO57" s="717"/>
      <c r="AP57" s="717" t="str">
        <f t="shared" si="1"/>
        <v>Добавить наименование тарифа</v>
      </c>
      <c r="AQ57" s="717"/>
      <c r="AR57" s="717"/>
      <c r="AS57" s="452">
        <v>1</v>
      </c>
    </row>
    <row r="58" spans="1:45" ht="11.5" customHeight="1">
      <c r="M58" s="1077"/>
      <c r="N58" s="1077"/>
      <c r="O58" s="471"/>
      <c r="P58" s="1072"/>
      <c r="Q58" s="1072"/>
      <c r="R58" s="1072"/>
      <c r="S58" s="1072"/>
      <c r="AN58" s="1072"/>
      <c r="AO58" s="1072"/>
      <c r="AP58" s="1072"/>
      <c r="AQ58" s="1072"/>
      <c r="AR58" s="1072"/>
      <c r="AS58" s="1072">
        <v>11</v>
      </c>
    </row>
    <row r="59" spans="1:45" ht="28.5" customHeight="1">
      <c r="O59" s="471"/>
      <c r="S59" s="1170"/>
      <c r="T59" s="3219"/>
      <c r="U59" s="3219"/>
      <c r="V59" s="3219"/>
      <c r="W59" s="3219"/>
      <c r="X59" s="3219"/>
      <c r="Y59" s="3219"/>
      <c r="Z59" s="3219"/>
      <c r="AA59" s="3219"/>
      <c r="AB59" s="3219"/>
      <c r="AC59" s="3219"/>
      <c r="AD59" s="3219"/>
      <c r="AE59" s="3219"/>
      <c r="AF59" s="3219"/>
      <c r="AG59" s="3219"/>
      <c r="AH59" s="3219"/>
      <c r="AI59" s="3219"/>
      <c r="AJ59" s="3219"/>
      <c r="AK59" s="3219"/>
      <c r="AL59" s="3219"/>
      <c r="AM59" s="3219"/>
      <c r="AS59" s="1072">
        <v>27</v>
      </c>
    </row>
    <row r="60" spans="1:45" ht="78.75" customHeight="1">
      <c r="O60" s="471"/>
      <c r="T60" s="3219"/>
      <c r="U60" s="3219"/>
      <c r="V60" s="3219"/>
      <c r="W60" s="3219"/>
      <c r="X60" s="3219"/>
      <c r="Y60" s="3219"/>
      <c r="Z60" s="3219"/>
      <c r="AA60" s="3219"/>
      <c r="AB60" s="3219"/>
      <c r="AC60" s="3219"/>
      <c r="AD60" s="3219"/>
      <c r="AE60" s="3219"/>
      <c r="AF60" s="3219"/>
      <c r="AG60" s="3219"/>
      <c r="AH60" s="3219"/>
      <c r="AI60" s="3219"/>
      <c r="AJ60" s="3219"/>
      <c r="AK60" s="3219"/>
      <c r="AL60" s="3219"/>
      <c r="AM60" s="3219"/>
      <c r="AS60" s="1072">
        <v>75</v>
      </c>
    </row>
    <row r="61" spans="1:45" ht="14.65" customHeight="1">
      <c r="O61" s="471"/>
      <c r="AS61" s="1072">
        <v>14</v>
      </c>
    </row>
    <row r="62" spans="1:45" ht="18.75" customHeight="1">
      <c r="O62" s="471"/>
      <c r="S62" s="1170"/>
      <c r="T62" s="3219"/>
      <c r="U62" s="3219"/>
      <c r="V62" s="3219"/>
      <c r="W62" s="3219"/>
      <c r="X62" s="3219"/>
      <c r="Y62" s="3219"/>
      <c r="Z62" s="3219"/>
      <c r="AA62" s="3219"/>
      <c r="AB62" s="3219"/>
      <c r="AC62" s="3219"/>
      <c r="AD62" s="3219"/>
      <c r="AE62" s="3219"/>
      <c r="AF62" s="3219"/>
      <c r="AG62" s="3219"/>
      <c r="AH62" s="3219"/>
      <c r="AI62" s="3219"/>
      <c r="AJ62" s="3219"/>
      <c r="AK62" s="3219"/>
      <c r="AL62" s="3219"/>
      <c r="AM62" s="3219"/>
      <c r="AS62" s="1072">
        <v>18</v>
      </c>
    </row>
    <row r="63" spans="1:45" ht="18.75" customHeight="1">
      <c r="O63" s="471"/>
      <c r="T63" s="3219"/>
      <c r="U63" s="3219"/>
      <c r="V63" s="3219"/>
      <c r="W63" s="3219"/>
      <c r="X63" s="3219"/>
      <c r="Y63" s="3219"/>
      <c r="Z63" s="3219"/>
      <c r="AA63" s="3219"/>
      <c r="AB63" s="3219"/>
      <c r="AC63" s="3219"/>
      <c r="AD63" s="3219"/>
      <c r="AE63" s="3219"/>
      <c r="AF63" s="3219"/>
      <c r="AG63" s="3219"/>
      <c r="AH63" s="3219"/>
      <c r="AI63" s="3219"/>
      <c r="AJ63" s="3219"/>
      <c r="AK63" s="3219"/>
      <c r="AL63" s="3219"/>
      <c r="AM63" s="3219"/>
      <c r="AS63" s="1072">
        <v>18</v>
      </c>
    </row>
    <row r="64" spans="1:45" ht="39.75" customHeight="1">
      <c r="O64" s="471"/>
      <c r="S64" s="1170"/>
      <c r="T64" s="3219"/>
      <c r="U64" s="3219"/>
      <c r="V64" s="3219"/>
      <c r="W64" s="3219"/>
      <c r="X64" s="3219"/>
      <c r="Y64" s="3219"/>
      <c r="Z64" s="3219"/>
      <c r="AA64" s="3219"/>
      <c r="AB64" s="3219"/>
      <c r="AC64" s="3219"/>
      <c r="AD64" s="3219"/>
      <c r="AE64" s="3219"/>
      <c r="AF64" s="3219"/>
      <c r="AG64" s="3219"/>
      <c r="AH64" s="3219"/>
      <c r="AI64" s="3219"/>
      <c r="AJ64" s="3219"/>
      <c r="AK64" s="3219"/>
      <c r="AL64" s="3219"/>
      <c r="AM64" s="3219"/>
      <c r="AS64" s="1072">
        <v>38</v>
      </c>
    </row>
    <row r="65" spans="1:45" ht="22.5" hidden="1" customHeight="1">
      <c r="A65" s="1077" t="s">
        <v>83</v>
      </c>
      <c r="B65" s="1077">
        <v>0</v>
      </c>
      <c r="C65" s="1077">
        <v>0</v>
      </c>
      <c r="D65" s="1077">
        <v>0</v>
      </c>
      <c r="E65" s="1077">
        <v>0</v>
      </c>
      <c r="F65" s="1077">
        <v>0</v>
      </c>
      <c r="G65" s="1077">
        <v>0</v>
      </c>
      <c r="H65" s="1077">
        <v>0</v>
      </c>
      <c r="I65" s="1077">
        <v>0</v>
      </c>
      <c r="J65" s="1077">
        <v>0</v>
      </c>
      <c r="K65" s="1077">
        <v>0</v>
      </c>
      <c r="L65" s="1246">
        <v>0</v>
      </c>
      <c r="M65" s="1279">
        <v>0</v>
      </c>
      <c r="N65" s="1279">
        <v>0</v>
      </c>
      <c r="O65" s="1279">
        <v>0</v>
      </c>
      <c r="P65" s="1245">
        <v>3</v>
      </c>
      <c r="Q65" s="279">
        <v>3</v>
      </c>
      <c r="R65" s="279">
        <v>3</v>
      </c>
      <c r="S65" s="515">
        <v>12</v>
      </c>
      <c r="T65" s="1072">
        <v>31</v>
      </c>
      <c r="U65" s="1072">
        <v>0</v>
      </c>
      <c r="V65" s="1072">
        <v>0</v>
      </c>
      <c r="W65" s="1072">
        <v>0</v>
      </c>
      <c r="X65" s="1072">
        <v>0</v>
      </c>
      <c r="Y65" s="1072">
        <v>0</v>
      </c>
      <c r="Z65" s="1072">
        <v>0</v>
      </c>
      <c r="AA65" s="1072">
        <v>0</v>
      </c>
      <c r="AB65" s="1072">
        <v>0</v>
      </c>
      <c r="AC65" s="1072">
        <v>0</v>
      </c>
      <c r="AD65" s="1072">
        <v>0</v>
      </c>
      <c r="AE65" s="1072">
        <v>24</v>
      </c>
      <c r="AF65" s="1072">
        <v>0</v>
      </c>
      <c r="AG65" s="1072">
        <v>0</v>
      </c>
      <c r="AH65" s="1072">
        <v>11</v>
      </c>
      <c r="AI65" s="1072">
        <v>3</v>
      </c>
      <c r="AJ65" s="1072">
        <v>11</v>
      </c>
      <c r="AK65" s="1072">
        <v>0</v>
      </c>
      <c r="AL65" s="1072">
        <v>4</v>
      </c>
      <c r="AM65" s="1072">
        <v>115</v>
      </c>
      <c r="AN65" s="445">
        <v>10</v>
      </c>
      <c r="AO65" s="445">
        <v>10</v>
      </c>
      <c r="AP65" s="445">
        <v>10</v>
      </c>
      <c r="AQ65" s="445">
        <v>10</v>
      </c>
      <c r="AR65" s="445">
        <v>10</v>
      </c>
      <c r="AS65" s="1072">
        <v>23</v>
      </c>
    </row>
  </sheetData>
  <sheetProtection formatColumns="0" formatRows="0" insertRows="0" deleteColumns="0" deleteRows="0" sort="0" autoFilter="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E00-000000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xr:uid="{00000000-0002-0000-0E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E00-000002000000}"/>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E00-00000300000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E00-000004000000}">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E00-000005000000}">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E00-000006000000}">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E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F02352-5893-276B-CBAF-0E9BCC83FF75}">
  <sheetPr>
    <tabColor theme="6" tint="0.39997558519241921"/>
  </sheetPr>
  <dimension ref="A1:BA90"/>
  <sheetViews>
    <sheetView showGridLines="0" topLeftCell="Q25" zoomScale="90" workbookViewId="0">
      <selection activeCell="AL74" sqref="AL74"/>
    </sheetView>
  </sheetViews>
  <sheetFormatPr defaultColWidth="10.59765625" defaultRowHeight="14.25" customHeight="1"/>
  <cols>
    <col min="1" max="1" width="10.59765625" style="2016" hidden="1"/>
    <col min="2" max="2" width="11" style="2016" hidden="1" customWidth="1"/>
    <col min="3" max="3" width="10.59765625" style="2016" hidden="1"/>
    <col min="4" max="4" width="11.796875" style="2016" hidden="1" customWidth="1"/>
    <col min="5" max="5" width="10" style="2016" hidden="1" customWidth="1"/>
    <col min="6" max="6" width="8.69921875" style="2016" hidden="1" customWidth="1"/>
    <col min="7" max="7" width="7.59765625" style="2016" hidden="1" customWidth="1"/>
    <col min="8" max="8" width="11.3984375" style="2016" hidden="1" customWidth="1"/>
    <col min="9" max="9" width="12" style="2016" hidden="1" customWidth="1"/>
    <col min="10" max="10" width="9.796875" style="2016" hidden="1" customWidth="1"/>
    <col min="11" max="11" width="11.3984375" style="2016" hidden="1" customWidth="1"/>
    <col min="12" max="12" width="19.09765625" style="2216" hidden="1" customWidth="1"/>
    <col min="13" max="14" width="12.296875" style="2006" hidden="1" customWidth="1"/>
    <col min="15" max="15" width="23.3984375" style="2006" hidden="1" customWidth="1"/>
    <col min="16" max="16" width="3.69921875" style="2217" hidden="1" customWidth="1"/>
    <col min="17" max="18" width="3" style="2215" customWidth="1"/>
    <col min="19" max="19" width="12" style="2218" customWidth="1"/>
    <col min="20" max="20" width="31" style="2004" customWidth="1"/>
    <col min="21" max="21" width="9.765625E-2" style="2004" customWidth="1"/>
    <col min="22" max="22" width="24.69921875" style="2004" hidden="1" customWidth="1"/>
    <col min="23" max="23" width="9.765625E-2" style="2004" hidden="1" customWidth="1"/>
    <col min="24" max="25" width="24.69921875" style="2004" hidden="1" customWidth="1"/>
    <col min="26" max="26" width="11.69921875" style="2004" hidden="1" customWidth="1"/>
    <col min="27" max="27" width="3.69921875" style="2004" hidden="1" customWidth="1"/>
    <col min="28" max="28" width="11.69921875" style="2004" hidden="1" customWidth="1"/>
    <col min="29" max="29" width="8.59765625" style="2004" hidden="1" customWidth="1"/>
    <col min="30" max="30" width="24.69921875" style="2004" customWidth="1"/>
    <col min="31" max="31" width="9.765625E-2" style="2004" customWidth="1"/>
    <col min="32" max="33" width="24" style="2004" customWidth="1"/>
    <col min="34" max="34" width="11" style="2004" customWidth="1"/>
    <col min="35" max="35" width="3.69921875" style="2004" customWidth="1"/>
    <col min="36" max="36" width="11" style="2004" customWidth="1"/>
    <col min="37" max="37" width="8.59765625" style="2004" customWidth="1"/>
    <col min="45" max="45" width="10.59765625" hidden="1"/>
    <col min="46" max="46" width="4" style="2004" customWidth="1"/>
    <col min="47" max="47" width="115" style="2004" customWidth="1"/>
    <col min="48" max="52" width="10" style="2017" customWidth="1"/>
    <col min="53" max="53" width="8.3984375" style="2004" hidden="1" customWidth="1"/>
  </cols>
  <sheetData>
    <row r="1" spans="1:53" ht="22.5" hidden="1" customHeight="1">
      <c r="Y1" s="262"/>
      <c r="Z1" s="262"/>
      <c r="AG1" s="262"/>
      <c r="AH1" s="262"/>
      <c r="AL1" s="2219"/>
      <c r="AM1" s="2219"/>
      <c r="AN1" s="2219"/>
      <c r="AO1" s="2219"/>
      <c r="AP1" s="2219"/>
      <c r="AQ1" s="2219"/>
      <c r="AR1" s="2219"/>
      <c r="AS1" s="2219"/>
      <c r="BA1" s="1072" t="s">
        <v>14</v>
      </c>
    </row>
    <row r="2" spans="1:53" ht="21" hidden="1" customHeight="1">
      <c r="A2" s="1280"/>
      <c r="B2" s="1280"/>
      <c r="C2" s="1280"/>
      <c r="D2" s="1280"/>
      <c r="E2" s="3199">
        <v>1</v>
      </c>
      <c r="F2" s="1280"/>
      <c r="G2" s="1280"/>
      <c r="H2" s="1280"/>
      <c r="I2" s="1280"/>
      <c r="J2" s="1280"/>
      <c r="K2" s="1280"/>
      <c r="L2" s="1281"/>
      <c r="M2" s="1282"/>
      <c r="N2" s="1282"/>
      <c r="O2" s="1282"/>
      <c r="P2" s="295"/>
      <c r="Q2" s="294"/>
      <c r="R2" s="289"/>
      <c r="S2" s="1253" t="e">
        <f>INDEX(PT_DIFFERENTIATION_NUM_NTAR,MATCH(A2,PT_DIFFERENTIATION_NTAR_ID,0))</f>
        <v>#N/A</v>
      </c>
      <c r="T2" s="233" t="s">
        <v>137</v>
      </c>
      <c r="U2" s="235"/>
      <c r="V2" s="3185"/>
      <c r="W2" s="3186"/>
      <c r="X2" s="3186"/>
      <c r="Y2" s="3186"/>
      <c r="Z2" s="3186"/>
      <c r="AA2" s="3186"/>
      <c r="AB2" s="3186"/>
      <c r="AC2" s="3187"/>
      <c r="AD2" s="3185" t="e">
        <f>INDEX(PT_DIFFERENTIATION_NTAR,MATCH(A2,PT_DIFFERENTIATION_NTAR_ID,0))</f>
        <v>#N/A</v>
      </c>
      <c r="AE2" s="3186"/>
      <c r="AF2" s="3186"/>
      <c r="AG2" s="3186"/>
      <c r="AH2" s="3186"/>
      <c r="AI2" s="3186"/>
      <c r="AJ2" s="3186"/>
      <c r="AK2" s="3186"/>
      <c r="AL2" s="3185"/>
      <c r="AM2" s="3186"/>
      <c r="AN2" s="3186"/>
      <c r="AO2" s="3186"/>
      <c r="AP2" s="3186"/>
      <c r="AQ2" s="3186"/>
      <c r="AR2" s="3186"/>
      <c r="AS2" s="3187"/>
      <c r="AT2" s="3187"/>
      <c r="AU2" s="1175" t="s">
        <v>431</v>
      </c>
      <c r="AW2" s="434"/>
      <c r="AX2" s="434" t="str">
        <f t="shared" ref="AX2:AX15" si="0">IF(T2="","",T2)</f>
        <v>Наименование тарифа</v>
      </c>
      <c r="AY2" s="434"/>
      <c r="AZ2" s="434"/>
      <c r="BA2" s="1072">
        <v>0</v>
      </c>
    </row>
    <row r="3" spans="1:53" ht="21" hidden="1" customHeight="1">
      <c r="A3" s="1280"/>
      <c r="B3" s="1280"/>
      <c r="C3" s="1280"/>
      <c r="D3" s="1280"/>
      <c r="E3" s="3200"/>
      <c r="F3" s="3199">
        <v>1</v>
      </c>
      <c r="G3" s="1280"/>
      <c r="H3" s="1280"/>
      <c r="I3" s="1280"/>
      <c r="J3" s="1280"/>
      <c r="K3" s="1280"/>
      <c r="L3" s="1281"/>
      <c r="M3" s="1282"/>
      <c r="N3" s="1282"/>
      <c r="O3" s="1282"/>
      <c r="P3" s="1249"/>
      <c r="Q3" s="286"/>
      <c r="R3" s="287"/>
      <c r="S3" s="1253" t="e">
        <f>INDEX(PT_DIFFERENTIATION_NUM_TER,MATCH(B3,PT_DIFFERENTIATION_TER_ID,0))</f>
        <v>#N/A</v>
      </c>
      <c r="T3" s="243" t="s">
        <v>432</v>
      </c>
      <c r="U3" s="235"/>
      <c r="V3" s="3185"/>
      <c r="W3" s="3186"/>
      <c r="X3" s="3186"/>
      <c r="Y3" s="3186"/>
      <c r="Z3" s="3186"/>
      <c r="AA3" s="3186"/>
      <c r="AB3" s="3186"/>
      <c r="AC3" s="3187"/>
      <c r="AD3" s="3185" t="e">
        <f>INDEX(PT_DIFFERENTIATION_TER,MATCH(B3,PT_DIFFERENTIATION_TER_ID,0))</f>
        <v>#N/A</v>
      </c>
      <c r="AE3" s="3186"/>
      <c r="AF3" s="3186"/>
      <c r="AG3" s="3186"/>
      <c r="AH3" s="3186"/>
      <c r="AI3" s="3186"/>
      <c r="AJ3" s="3186"/>
      <c r="AK3" s="3186"/>
      <c r="AL3" s="3185"/>
      <c r="AM3" s="3186"/>
      <c r="AN3" s="3186"/>
      <c r="AO3" s="3186"/>
      <c r="AP3" s="3186"/>
      <c r="AQ3" s="3186"/>
      <c r="AR3" s="3186"/>
      <c r="AS3" s="3187"/>
      <c r="AT3" s="3187"/>
      <c r="AU3" s="1175" t="s">
        <v>433</v>
      </c>
      <c r="AW3" s="434"/>
      <c r="AX3" s="434" t="str">
        <f t="shared" si="0"/>
        <v>Территория действия тарифа</v>
      </c>
      <c r="AY3" s="434"/>
      <c r="AZ3" s="434"/>
      <c r="BA3" s="1072">
        <v>0</v>
      </c>
    </row>
    <row r="4" spans="1:53" ht="23.25" hidden="1" customHeight="1">
      <c r="A4" s="1280"/>
      <c r="B4" s="1280"/>
      <c r="C4" s="1280"/>
      <c r="D4" s="1280"/>
      <c r="E4" s="3200"/>
      <c r="F4" s="3200"/>
      <c r="G4" s="3199">
        <v>1</v>
      </c>
      <c r="H4" s="1280"/>
      <c r="I4" s="1280"/>
      <c r="J4" s="1280"/>
      <c r="K4" s="1280"/>
      <c r="L4" s="1281"/>
      <c r="M4" s="1282"/>
      <c r="N4" s="1282"/>
      <c r="O4" s="1282"/>
      <c r="P4" s="288"/>
      <c r="Q4" s="286"/>
      <c r="R4" s="287"/>
      <c r="S4" s="1253" t="e">
        <f>INDEX(PT_DIFFERENTIATION_NUM_CS,MATCH(C4,PT_DIFFERENTIATION_CS_ID,0))</f>
        <v>#N/A</v>
      </c>
      <c r="T4" s="244" t="s">
        <v>434</v>
      </c>
      <c r="U4" s="235"/>
      <c r="V4" s="3185"/>
      <c r="W4" s="3186"/>
      <c r="X4" s="3186"/>
      <c r="Y4" s="3186"/>
      <c r="Z4" s="3186"/>
      <c r="AA4" s="3186"/>
      <c r="AB4" s="3186"/>
      <c r="AC4" s="3187"/>
      <c r="AD4" s="3185" t="e">
        <f>INDEX(PT_DIFFERENTIATION_CS,MATCH(C4,PT_DIFFERENTIATION_CS_ID,0))</f>
        <v>#N/A</v>
      </c>
      <c r="AE4" s="3186"/>
      <c r="AF4" s="3186"/>
      <c r="AG4" s="3186"/>
      <c r="AH4" s="3186"/>
      <c r="AI4" s="3186"/>
      <c r="AJ4" s="3186"/>
      <c r="AK4" s="3186"/>
      <c r="AL4" s="3185"/>
      <c r="AM4" s="3186"/>
      <c r="AN4" s="3186"/>
      <c r="AO4" s="3186"/>
      <c r="AP4" s="3186"/>
      <c r="AQ4" s="3186"/>
      <c r="AR4" s="3186"/>
      <c r="AS4" s="3187"/>
      <c r="AT4" s="3187"/>
      <c r="AU4" s="1175" t="s">
        <v>435</v>
      </c>
      <c r="AW4" s="434"/>
      <c r="AX4" s="434" t="str">
        <f t="shared" si="0"/>
        <v xml:space="preserve">Наименование системы теплоснабжения </v>
      </c>
      <c r="AY4" s="434"/>
      <c r="AZ4" s="434"/>
      <c r="BA4" s="1072">
        <v>0</v>
      </c>
    </row>
    <row r="5" spans="1:53" ht="21" hidden="1" customHeight="1">
      <c r="A5" s="1280"/>
      <c r="B5" s="1280"/>
      <c r="C5" s="1280"/>
      <c r="D5" s="1280"/>
      <c r="E5" s="3200"/>
      <c r="F5" s="3200"/>
      <c r="G5" s="3200"/>
      <c r="H5" s="3199">
        <v>1</v>
      </c>
      <c r="I5" s="1280"/>
      <c r="J5" s="1280"/>
      <c r="K5" s="1280"/>
      <c r="L5" s="1281"/>
      <c r="M5" s="1282"/>
      <c r="N5" s="1282"/>
      <c r="O5" s="1282"/>
      <c r="P5" s="288"/>
      <c r="Q5" s="286"/>
      <c r="R5" s="287"/>
      <c r="S5" s="1253" t="e">
        <f>INDEX(PT_DIFFERENTIATION_NUM_IST_TE,MATCH(D5,PT_DIFFERENTIATION_IST_TE_ID,0))</f>
        <v>#N/A</v>
      </c>
      <c r="T5" s="245" t="s">
        <v>436</v>
      </c>
      <c r="U5" s="235"/>
      <c r="V5" s="3185"/>
      <c r="W5" s="3186"/>
      <c r="X5" s="3186"/>
      <c r="Y5" s="3186"/>
      <c r="Z5" s="3186"/>
      <c r="AA5" s="3186"/>
      <c r="AB5" s="3186"/>
      <c r="AC5" s="3187"/>
      <c r="AD5" s="3185" t="e">
        <f>INDEX(PT_DIFFERENTIATION_IST_TE,MATCH(D5,PT_DIFFERENTIATION_IST_TE_ID,0))</f>
        <v>#N/A</v>
      </c>
      <c r="AE5" s="3186"/>
      <c r="AF5" s="3186"/>
      <c r="AG5" s="3186"/>
      <c r="AH5" s="3186"/>
      <c r="AI5" s="3186"/>
      <c r="AJ5" s="3186"/>
      <c r="AK5" s="3186"/>
      <c r="AL5" s="3185"/>
      <c r="AM5" s="3186"/>
      <c r="AN5" s="3186"/>
      <c r="AO5" s="3186"/>
      <c r="AP5" s="3186"/>
      <c r="AQ5" s="3186"/>
      <c r="AR5" s="3186"/>
      <c r="AS5" s="3187"/>
      <c r="AT5" s="3187"/>
      <c r="AU5" s="1175" t="s">
        <v>437</v>
      </c>
      <c r="AW5" s="434"/>
      <c r="AX5" s="434" t="str">
        <f t="shared" si="0"/>
        <v xml:space="preserve">Источник тепловой энергии  </v>
      </c>
      <c r="AY5" s="434"/>
      <c r="AZ5" s="434"/>
      <c r="BA5" s="1072">
        <v>0</v>
      </c>
    </row>
    <row r="6" spans="1:53" ht="14.25" hidden="1" customHeight="1">
      <c r="A6" s="1280"/>
      <c r="B6" s="1280"/>
      <c r="C6" s="1280"/>
      <c r="D6" s="1280"/>
      <c r="E6" s="3200"/>
      <c r="F6" s="3200"/>
      <c r="G6" s="3200"/>
      <c r="H6" s="3200"/>
      <c r="I6" s="3197" t="e">
        <f>S5&amp;".1"</f>
        <v>#N/A</v>
      </c>
      <c r="J6" s="1280"/>
      <c r="K6" s="1280"/>
      <c r="L6" s="1281" t="s">
        <v>438</v>
      </c>
      <c r="M6" s="471"/>
      <c r="P6" s="3198">
        <v>1</v>
      </c>
      <c r="Q6" s="1248"/>
      <c r="R6" s="290"/>
      <c r="S6" s="963"/>
      <c r="T6" s="1300"/>
      <c r="U6" s="1301"/>
      <c r="V6" s="3228"/>
      <c r="W6" s="3229"/>
      <c r="X6" s="3229"/>
      <c r="Y6" s="3229"/>
      <c r="Z6" s="3229"/>
      <c r="AA6" s="3229"/>
      <c r="AB6" s="3229"/>
      <c r="AC6" s="3230"/>
      <c r="AD6" s="3228"/>
      <c r="AE6" s="3229"/>
      <c r="AF6" s="3229"/>
      <c r="AG6" s="3229"/>
      <c r="AH6" s="3229"/>
      <c r="AI6" s="3229"/>
      <c r="AJ6" s="3229"/>
      <c r="AK6" s="3229"/>
      <c r="AL6" s="3228"/>
      <c r="AM6" s="3229"/>
      <c r="AN6" s="3229"/>
      <c r="AO6" s="3229"/>
      <c r="AP6" s="3229"/>
      <c r="AQ6" s="3229"/>
      <c r="AR6" s="3229"/>
      <c r="AS6" s="3230"/>
      <c r="AT6" s="3230"/>
      <c r="AU6" s="1302"/>
      <c r="AW6" s="434"/>
      <c r="AX6" s="434" t="str">
        <f t="shared" si="0"/>
        <v/>
      </c>
      <c r="AY6" s="434"/>
      <c r="AZ6" s="434"/>
      <c r="BA6" s="1072">
        <v>0</v>
      </c>
    </row>
    <row r="7" spans="1:53" ht="21" hidden="1" customHeight="1">
      <c r="A7" s="1280"/>
      <c r="B7" s="1280"/>
      <c r="C7" s="1280"/>
      <c r="D7" s="1280"/>
      <c r="E7" s="3200"/>
      <c r="F7" s="3200"/>
      <c r="G7" s="3200"/>
      <c r="H7" s="3200"/>
      <c r="I7" s="3220"/>
      <c r="J7" s="3197" t="e">
        <f>I6&amp;".1"</f>
        <v>#N/A</v>
      </c>
      <c r="K7" s="1280"/>
      <c r="L7" s="1281" t="s">
        <v>441</v>
      </c>
      <c r="M7" s="471"/>
      <c r="N7" s="1283"/>
      <c r="P7" s="3198"/>
      <c r="Q7" s="3198">
        <v>1</v>
      </c>
      <c r="R7" s="291"/>
      <c r="S7" s="1253" t="e">
        <f>$J7</f>
        <v>#N/A</v>
      </c>
      <c r="T7" s="221" t="s">
        <v>442</v>
      </c>
      <c r="U7" s="235"/>
      <c r="V7" s="3188"/>
      <c r="W7" s="3189"/>
      <c r="X7" s="3189"/>
      <c r="Y7" s="3189"/>
      <c r="Z7" s="3189"/>
      <c r="AA7" s="3189"/>
      <c r="AB7" s="3189"/>
      <c r="AC7" s="3190"/>
      <c r="AD7" s="3188"/>
      <c r="AE7" s="3189"/>
      <c r="AF7" s="3189"/>
      <c r="AG7" s="3189"/>
      <c r="AH7" s="3189"/>
      <c r="AI7" s="3189"/>
      <c r="AJ7" s="3189"/>
      <c r="AK7" s="3189"/>
      <c r="AL7" s="3188"/>
      <c r="AM7" s="3189"/>
      <c r="AN7" s="3189"/>
      <c r="AO7" s="3189"/>
      <c r="AP7" s="3189"/>
      <c r="AQ7" s="3189"/>
      <c r="AR7" s="3189"/>
      <c r="AS7" s="3190"/>
      <c r="AT7" s="3190"/>
      <c r="AU7" s="1175" t="s">
        <v>443</v>
      </c>
      <c r="AW7" s="434"/>
      <c r="AX7" s="434" t="str">
        <f t="shared" si="0"/>
        <v>Группа потребителей</v>
      </c>
      <c r="AY7" s="434"/>
      <c r="AZ7" s="434"/>
      <c r="BA7" s="1072">
        <v>0</v>
      </c>
    </row>
    <row r="8" spans="1:53" ht="21" hidden="1" customHeight="1">
      <c r="A8" s="1280"/>
      <c r="B8" s="1280"/>
      <c r="C8" s="1280"/>
      <c r="D8" s="1280"/>
      <c r="E8" s="3200"/>
      <c r="F8" s="3200"/>
      <c r="G8" s="3200"/>
      <c r="H8" s="3200"/>
      <c r="I8" s="3220"/>
      <c r="J8" s="3220"/>
      <c r="K8" s="3197" t="e">
        <f>J7&amp;".1"</f>
        <v>#N/A</v>
      </c>
      <c r="L8" s="1281" t="s">
        <v>444</v>
      </c>
      <c r="M8" s="471"/>
      <c r="N8" s="1283"/>
      <c r="O8" s="1283"/>
      <c r="P8" s="3198"/>
      <c r="Q8" s="3198"/>
      <c r="R8" s="291">
        <v>1</v>
      </c>
      <c r="S8" s="1253" t="e">
        <f>$K8</f>
        <v>#N/A</v>
      </c>
      <c r="T8" s="1264"/>
      <c r="U8" s="235"/>
      <c r="V8" s="685"/>
      <c r="W8" s="260"/>
      <c r="X8" s="685"/>
      <c r="Y8" s="1174"/>
      <c r="Z8" s="3202"/>
      <c r="AA8" s="3048" t="s">
        <v>67</v>
      </c>
      <c r="AB8" s="3202"/>
      <c r="AC8" s="3048" t="s">
        <v>67</v>
      </c>
      <c r="AD8" s="685"/>
      <c r="AE8" s="260"/>
      <c r="AF8" s="685"/>
      <c r="AG8" s="1174"/>
      <c r="AH8" s="3202"/>
      <c r="AI8" s="3048" t="s">
        <v>67</v>
      </c>
      <c r="AJ8" s="3202"/>
      <c r="AK8" s="3048" t="s">
        <v>67</v>
      </c>
      <c r="AL8" s="2220"/>
      <c r="AM8" s="2221"/>
      <c r="AN8" s="2220"/>
      <c r="AO8" s="2222"/>
      <c r="AP8" s="3202"/>
      <c r="AQ8" s="3048" t="s">
        <v>67</v>
      </c>
      <c r="AR8" s="3202"/>
      <c r="AS8" s="3048" t="s">
        <v>67</v>
      </c>
      <c r="AT8" s="260"/>
      <c r="AU8" s="3194" t="s">
        <v>445</v>
      </c>
      <c r="AV8" s="445" t="e">
        <f ca="1">STRCHECKDATE(V9:AT9)</f>
        <v>#NAME?</v>
      </c>
      <c r="AW8" s="434"/>
      <c r="AX8" s="434" t="str">
        <f t="shared" si="0"/>
        <v/>
      </c>
      <c r="AY8" s="434"/>
      <c r="AZ8" s="434"/>
      <c r="BA8" s="1072">
        <v>0</v>
      </c>
    </row>
    <row r="9" spans="1:53" ht="0.75" hidden="1" customHeight="1">
      <c r="A9" s="1280"/>
      <c r="B9" s="1280"/>
      <c r="C9" s="1280"/>
      <c r="D9" s="1280"/>
      <c r="E9" s="3200"/>
      <c r="F9" s="3200"/>
      <c r="G9" s="3200"/>
      <c r="H9" s="3200"/>
      <c r="I9" s="3220"/>
      <c r="J9" s="3220"/>
      <c r="K9" s="3197"/>
      <c r="L9" s="1281"/>
      <c r="M9" s="471"/>
      <c r="N9" s="1283"/>
      <c r="O9" s="1283"/>
      <c r="P9" s="3198"/>
      <c r="Q9" s="3198"/>
      <c r="R9" s="291"/>
      <c r="S9" s="1259"/>
      <c r="T9" s="235"/>
      <c r="U9" s="235"/>
      <c r="V9" s="260"/>
      <c r="W9" s="260"/>
      <c r="X9" s="260"/>
      <c r="Y9" s="263" t="str">
        <f>Z8&amp;"-"&amp;AB8</f>
        <v>-</v>
      </c>
      <c r="Z9" s="3203"/>
      <c r="AA9" s="3048"/>
      <c r="AB9" s="3203"/>
      <c r="AC9" s="3048"/>
      <c r="AD9" s="260"/>
      <c r="AE9" s="260"/>
      <c r="AF9" s="260"/>
      <c r="AG9" s="263" t="str">
        <f>AH8&amp;"-"&amp;AJ8</f>
        <v>-</v>
      </c>
      <c r="AH9" s="3203"/>
      <c r="AI9" s="3048"/>
      <c r="AJ9" s="3203"/>
      <c r="AK9" s="3048"/>
      <c r="AL9" s="2221"/>
      <c r="AM9" s="2221"/>
      <c r="AN9" s="2221"/>
      <c r="AO9" s="2223" t="str">
        <f>AP8&amp;"-"&amp;AR8</f>
        <v>-</v>
      </c>
      <c r="AP9" s="3203"/>
      <c r="AQ9" s="3048"/>
      <c r="AR9" s="3203"/>
      <c r="AS9" s="3048"/>
      <c r="AT9" s="260"/>
      <c r="AU9" s="3195"/>
      <c r="AW9" s="434"/>
      <c r="AX9" s="434" t="str">
        <f t="shared" si="0"/>
        <v/>
      </c>
      <c r="AY9" s="434"/>
      <c r="AZ9" s="434"/>
      <c r="BA9" s="1072">
        <v>0</v>
      </c>
    </row>
    <row r="10" spans="1:53" ht="15" hidden="1" customHeight="1">
      <c r="A10" s="1280"/>
      <c r="B10" s="1280"/>
      <c r="C10" s="1280"/>
      <c r="D10" s="1280"/>
      <c r="E10" s="3200"/>
      <c r="F10" s="3200"/>
      <c r="G10" s="3200"/>
      <c r="H10" s="3200"/>
      <c r="I10" s="3220"/>
      <c r="J10" s="3197"/>
      <c r="K10" s="1280"/>
      <c r="L10" s="1281"/>
      <c r="M10" s="471"/>
      <c r="N10" s="1283"/>
      <c r="P10" s="3198"/>
      <c r="Q10" s="3198"/>
      <c r="R10" s="290"/>
      <c r="S10" s="1195"/>
      <c r="T10" s="222" t="s">
        <v>446</v>
      </c>
      <c r="U10" s="301"/>
      <c r="V10" s="301"/>
      <c r="W10" s="301"/>
      <c r="X10" s="301"/>
      <c r="Y10" s="301"/>
      <c r="Z10" s="301"/>
      <c r="AA10" s="301"/>
      <c r="AB10" s="301"/>
      <c r="AC10" s="301"/>
      <c r="AD10" s="301"/>
      <c r="AE10" s="301"/>
      <c r="AF10" s="301"/>
      <c r="AG10" s="301"/>
      <c r="AH10" s="301"/>
      <c r="AI10" s="301"/>
      <c r="AJ10" s="301"/>
      <c r="AK10" s="301"/>
      <c r="AL10" s="2514"/>
      <c r="AM10" s="2515"/>
      <c r="AN10" s="2516"/>
      <c r="AO10" s="2517"/>
      <c r="AP10" s="2518"/>
      <c r="AQ10" s="2519"/>
      <c r="AR10" s="2520"/>
      <c r="AS10" s="2521"/>
      <c r="AT10" s="259"/>
      <c r="AU10" s="3196"/>
      <c r="AW10" s="434"/>
      <c r="AX10" s="434" t="str">
        <f t="shared" si="0"/>
        <v>Добавить вид теплоносителя (параметры теплоносителя)</v>
      </c>
      <c r="AY10" s="434"/>
      <c r="AZ10" s="434"/>
      <c r="BA10" s="1072">
        <v>0</v>
      </c>
    </row>
    <row r="11" spans="1:53" ht="15" hidden="1" customHeight="1">
      <c r="A11" s="1280"/>
      <c r="B11" s="1280"/>
      <c r="C11" s="1280"/>
      <c r="D11" s="1280"/>
      <c r="E11" s="3200"/>
      <c r="F11" s="3200"/>
      <c r="G11" s="3200"/>
      <c r="H11" s="3200"/>
      <c r="I11" s="3197"/>
      <c r="J11" s="1280"/>
      <c r="K11" s="1280"/>
      <c r="L11" s="1281"/>
      <c r="M11" s="471"/>
      <c r="P11" s="3198"/>
      <c r="Q11" s="1248"/>
      <c r="R11" s="290"/>
      <c r="S11" s="1195"/>
      <c r="T11" s="299" t="s">
        <v>447</v>
      </c>
      <c r="U11" s="301"/>
      <c r="V11" s="301"/>
      <c r="W11" s="301"/>
      <c r="X11" s="301"/>
      <c r="Y11" s="301"/>
      <c r="Z11" s="301"/>
      <c r="AA11" s="301"/>
      <c r="AB11" s="301"/>
      <c r="AC11" s="300"/>
      <c r="AD11" s="301"/>
      <c r="AE11" s="301"/>
      <c r="AF11" s="301"/>
      <c r="AG11" s="301"/>
      <c r="AH11" s="301"/>
      <c r="AI11" s="301"/>
      <c r="AJ11" s="301"/>
      <c r="AK11" s="300"/>
      <c r="AL11" s="2522"/>
      <c r="AM11" s="2523"/>
      <c r="AN11" s="2524"/>
      <c r="AO11" s="2525"/>
      <c r="AP11" s="2526"/>
      <c r="AQ11" s="2527"/>
      <c r="AR11" s="2528"/>
      <c r="AS11" s="2529"/>
      <c r="AT11" s="301"/>
      <c r="AU11" s="238"/>
      <c r="AW11" s="434"/>
      <c r="AX11" s="434" t="str">
        <f t="shared" si="0"/>
        <v>Добавить группу потребителей</v>
      </c>
      <c r="AY11" s="434"/>
      <c r="AZ11" s="434"/>
      <c r="BA11" s="1072">
        <v>0</v>
      </c>
    </row>
    <row r="12" spans="1:53" ht="14.25" hidden="1" customHeight="1">
      <c r="A12" s="1280"/>
      <c r="B12" s="1280"/>
      <c r="C12" s="1280"/>
      <c r="D12" s="1280"/>
      <c r="E12" s="3200"/>
      <c r="F12" s="3200"/>
      <c r="G12" s="3200"/>
      <c r="H12" s="3199"/>
      <c r="I12" s="1280"/>
      <c r="J12" s="1280"/>
      <c r="K12" s="1280"/>
      <c r="L12" s="1281"/>
      <c r="M12" s="1282"/>
      <c r="N12" s="1282"/>
      <c r="O12" s="471"/>
      <c r="P12" s="294"/>
      <c r="Q12" s="309"/>
      <c r="R12" s="289"/>
      <c r="S12" s="1303"/>
      <c r="T12" s="1304"/>
      <c r="U12" s="1305"/>
      <c r="V12" s="1305"/>
      <c r="W12" s="1305"/>
      <c r="X12" s="1305"/>
      <c r="Y12" s="1305"/>
      <c r="Z12" s="1305"/>
      <c r="AA12" s="1305"/>
      <c r="AB12" s="1305"/>
      <c r="AC12" s="1305"/>
      <c r="AD12" s="1305"/>
      <c r="AE12" s="1305"/>
      <c r="AF12" s="1305"/>
      <c r="AG12" s="1305"/>
      <c r="AH12" s="1305"/>
      <c r="AI12" s="1305"/>
      <c r="AJ12" s="1305"/>
      <c r="AK12" s="1305"/>
      <c r="AL12" s="2530"/>
      <c r="AM12" s="2530"/>
      <c r="AN12" s="2530"/>
      <c r="AO12" s="2530"/>
      <c r="AP12" s="2530"/>
      <c r="AQ12" s="2530"/>
      <c r="AR12" s="2530"/>
      <c r="AS12" s="2530"/>
      <c r="AT12" s="1305"/>
      <c r="AU12" s="1306"/>
      <c r="AW12" s="434"/>
      <c r="AX12" s="434" t="str">
        <f t="shared" si="0"/>
        <v/>
      </c>
      <c r="AY12" s="434"/>
      <c r="AZ12" s="434"/>
      <c r="BA12" s="1072">
        <v>0</v>
      </c>
    </row>
    <row r="13" spans="1:53" s="2017" customFormat="1" ht="0.75" hidden="1" customHeight="1">
      <c r="A13" s="1231"/>
      <c r="B13" s="1231"/>
      <c r="C13" s="1231"/>
      <c r="D13" s="1231"/>
      <c r="E13" s="3200"/>
      <c r="F13" s="3200"/>
      <c r="G13" s="3199"/>
      <c r="H13" s="1231"/>
      <c r="I13" s="1231"/>
      <c r="J13" s="1231"/>
      <c r="K13" s="1231"/>
      <c r="L13" s="1256"/>
      <c r="M13" s="1232"/>
      <c r="N13" s="1232"/>
      <c r="P13" s="1233"/>
      <c r="Q13" s="1234"/>
      <c r="R13" s="1233"/>
      <c r="S13" s="1235"/>
      <c r="T13" s="1236" t="s">
        <v>180</v>
      </c>
      <c r="U13" s="1237"/>
      <c r="V13" s="1237"/>
      <c r="W13" s="1237"/>
      <c r="X13" s="1237"/>
      <c r="Y13" s="1237"/>
      <c r="Z13" s="1237"/>
      <c r="AA13" s="1237"/>
      <c r="AB13" s="1237"/>
      <c r="AC13" s="1237"/>
      <c r="AD13" s="1237"/>
      <c r="AE13" s="1237"/>
      <c r="AF13" s="1237"/>
      <c r="AG13" s="1237"/>
      <c r="AH13" s="1237"/>
      <c r="AI13" s="1237"/>
      <c r="AJ13" s="1237"/>
      <c r="AK13" s="1237"/>
      <c r="AL13" s="2248"/>
      <c r="AM13" s="2248"/>
      <c r="AN13" s="2248"/>
      <c r="AO13" s="2248"/>
      <c r="AP13" s="2248"/>
      <c r="AQ13" s="2248"/>
      <c r="AR13" s="2248"/>
      <c r="AS13" s="2248"/>
      <c r="AT13" s="1237"/>
      <c r="AU13" s="1237"/>
      <c r="AW13" s="717"/>
      <c r="AX13" s="717" t="str">
        <f t="shared" si="0"/>
        <v>Добавить источник для дифференциации</v>
      </c>
      <c r="AY13" s="717"/>
      <c r="AZ13" s="717"/>
      <c r="BA13" s="452">
        <v>0</v>
      </c>
    </row>
    <row r="14" spans="1:53" s="2017" customFormat="1" ht="0.75" hidden="1" customHeight="1">
      <c r="A14" s="1231"/>
      <c r="B14" s="1231"/>
      <c r="C14" s="1231"/>
      <c r="D14" s="1231"/>
      <c r="E14" s="3200"/>
      <c r="F14" s="3199"/>
      <c r="G14" s="1231"/>
      <c r="H14" s="1231"/>
      <c r="I14" s="1231"/>
      <c r="J14" s="1231"/>
      <c r="K14" s="1231"/>
      <c r="L14" s="1256"/>
      <c r="M14" s="1238"/>
      <c r="N14" s="1238"/>
      <c r="P14" s="1233"/>
      <c r="Q14" s="1234"/>
      <c r="R14" s="1233"/>
      <c r="S14" s="1239"/>
      <c r="T14" s="1240" t="s">
        <v>181</v>
      </c>
      <c r="U14" s="1241"/>
      <c r="V14" s="1241"/>
      <c r="W14" s="1241"/>
      <c r="X14" s="1241"/>
      <c r="Y14" s="1241"/>
      <c r="Z14" s="1241"/>
      <c r="AA14" s="1241"/>
      <c r="AB14" s="1241"/>
      <c r="AC14" s="1241"/>
      <c r="AD14" s="1241"/>
      <c r="AE14" s="1241"/>
      <c r="AF14" s="1241"/>
      <c r="AG14" s="1241"/>
      <c r="AH14" s="1241"/>
      <c r="AI14" s="1241"/>
      <c r="AJ14" s="1241"/>
      <c r="AK14" s="1241"/>
      <c r="AL14" s="2249"/>
      <c r="AM14" s="2249"/>
      <c r="AN14" s="2249"/>
      <c r="AO14" s="2249"/>
      <c r="AP14" s="2249"/>
      <c r="AQ14" s="2249"/>
      <c r="AR14" s="2249"/>
      <c r="AS14" s="2249"/>
      <c r="AT14" s="1241"/>
      <c r="AU14" s="1241"/>
      <c r="AW14" s="717"/>
      <c r="AX14" s="717" t="str">
        <f t="shared" si="0"/>
        <v>Добавить централизованную систему для дифференциации</v>
      </c>
      <c r="AY14" s="717"/>
      <c r="AZ14" s="717"/>
      <c r="BA14" s="452">
        <v>0</v>
      </c>
    </row>
    <row r="15" spans="1:53" s="2017" customFormat="1" ht="0.75" hidden="1" customHeight="1">
      <c r="A15" s="1231"/>
      <c r="B15" s="1231"/>
      <c r="C15" s="1231"/>
      <c r="D15" s="1231"/>
      <c r="E15" s="3199"/>
      <c r="F15" s="1231"/>
      <c r="G15" s="1231"/>
      <c r="H15" s="1231"/>
      <c r="I15" s="1231"/>
      <c r="J15" s="1231"/>
      <c r="K15" s="1231"/>
      <c r="L15" s="1256"/>
      <c r="M15" s="1238"/>
      <c r="N15" s="1238"/>
      <c r="P15" s="1233"/>
      <c r="Q15" s="1234"/>
      <c r="R15" s="1233"/>
      <c r="S15" s="1239"/>
      <c r="T15" s="1242" t="s">
        <v>188</v>
      </c>
      <c r="U15" s="1241"/>
      <c r="V15" s="1241"/>
      <c r="W15" s="1241"/>
      <c r="X15" s="1241"/>
      <c r="Y15" s="1241"/>
      <c r="Z15" s="1241"/>
      <c r="AA15" s="1241"/>
      <c r="AB15" s="1241"/>
      <c r="AC15" s="1241"/>
      <c r="AD15" s="1241"/>
      <c r="AE15" s="1241"/>
      <c r="AF15" s="1241"/>
      <c r="AG15" s="1241"/>
      <c r="AH15" s="1241"/>
      <c r="AI15" s="1241"/>
      <c r="AJ15" s="1241"/>
      <c r="AK15" s="1241"/>
      <c r="AL15" s="2249"/>
      <c r="AM15" s="2249"/>
      <c r="AN15" s="2249"/>
      <c r="AO15" s="2249"/>
      <c r="AP15" s="2249"/>
      <c r="AQ15" s="2249"/>
      <c r="AR15" s="2249"/>
      <c r="AS15" s="2249"/>
      <c r="AT15" s="1241"/>
      <c r="AU15" s="1241"/>
      <c r="AW15" s="717"/>
      <c r="AX15" s="717" t="str">
        <f t="shared" si="0"/>
        <v>Добавить территорию для дифференциации</v>
      </c>
      <c r="AY15" s="717"/>
      <c r="AZ15" s="717"/>
      <c r="BA15" s="452">
        <v>0</v>
      </c>
    </row>
    <row r="16" spans="1:53" ht="14.25" hidden="1" customHeight="1">
      <c r="AC16" s="262"/>
      <c r="AK16" s="262"/>
      <c r="AL16" s="2219"/>
      <c r="AM16" s="2219"/>
      <c r="AN16" s="2219"/>
      <c r="AO16" s="2219"/>
      <c r="AP16" s="2219"/>
      <c r="AQ16" s="2219"/>
      <c r="AR16" s="2219"/>
      <c r="AS16" s="2219"/>
      <c r="BA16" s="1072">
        <v>0</v>
      </c>
    </row>
    <row r="17" spans="1:53" ht="14.25" hidden="1" customHeight="1">
      <c r="AD17" s="1277"/>
      <c r="AE17" s="1277"/>
      <c r="AF17" s="1277"/>
      <c r="AG17" s="1278"/>
      <c r="AH17" s="3204"/>
      <c r="AI17" s="3205" t="s">
        <v>67</v>
      </c>
      <c r="AJ17" s="3204"/>
      <c r="AK17" s="3205" t="s">
        <v>67</v>
      </c>
      <c r="AL17" s="2219"/>
      <c r="AM17" s="2219"/>
      <c r="AN17" s="2219"/>
      <c r="AO17" s="2219"/>
      <c r="AP17" s="2219"/>
      <c r="AQ17" s="2219"/>
      <c r="AR17" s="2219"/>
      <c r="AS17" s="2219"/>
      <c r="BA17" s="1072">
        <v>0</v>
      </c>
    </row>
    <row r="18" spans="1:53" ht="14.25" hidden="1" customHeight="1">
      <c r="AD18" s="1277"/>
      <c r="AE18" s="1277"/>
      <c r="AF18" s="1277"/>
      <c r="AG18" s="263" t="str">
        <f>AH17&amp;"-"&amp;AJ17</f>
        <v>-</v>
      </c>
      <c r="AH18" s="3205"/>
      <c r="AI18" s="3205"/>
      <c r="AJ18" s="3205"/>
      <c r="AK18" s="3205"/>
      <c r="AL18" s="2219"/>
      <c r="AM18" s="2219"/>
      <c r="AN18" s="2219"/>
      <c r="AO18" s="2219"/>
      <c r="AP18" s="2219"/>
      <c r="AQ18" s="2219"/>
      <c r="AR18" s="2219"/>
      <c r="AS18" s="2219"/>
      <c r="BA18" s="1072">
        <v>0</v>
      </c>
    </row>
    <row r="19" spans="1:53" ht="14.25" hidden="1" customHeight="1">
      <c r="AK19" s="262"/>
      <c r="AL19" s="2219"/>
      <c r="AM19" s="2219"/>
      <c r="AN19" s="2219"/>
      <c r="AO19" s="2219"/>
      <c r="AP19" s="2219"/>
      <c r="AQ19" s="2219"/>
      <c r="AR19" s="2219"/>
      <c r="AS19" s="2219"/>
      <c r="BA19" s="1072">
        <v>0</v>
      </c>
    </row>
    <row r="20" spans="1:53" s="2016" customFormat="1" ht="22.5" hidden="1" customHeight="1">
      <c r="L20" s="1246"/>
      <c r="M20" s="1279"/>
      <c r="N20" s="1279"/>
      <c r="O20" s="1284" t="s">
        <v>449</v>
      </c>
      <c r="P20" s="1279"/>
      <c r="Q20" s="1288"/>
      <c r="R20" s="1288"/>
      <c r="S20" s="663"/>
      <c r="Z20" s="1284"/>
      <c r="AB20" s="1284"/>
      <c r="AC20" s="1283"/>
      <c r="AH20" s="1284"/>
      <c r="AJ20" s="1284"/>
      <c r="AK20" s="1283"/>
      <c r="AL20" s="2250"/>
      <c r="AM20" s="2250"/>
      <c r="AN20" s="2250"/>
      <c r="AO20" s="2250"/>
      <c r="AP20" s="2251"/>
      <c r="AQ20" s="2250"/>
      <c r="AR20" s="2251"/>
      <c r="AS20" s="2250"/>
      <c r="AV20" s="445"/>
      <c r="AW20" s="445"/>
      <c r="AX20" s="445"/>
      <c r="AY20" s="445"/>
      <c r="AZ20" s="445"/>
      <c r="BA20" s="1077">
        <v>0</v>
      </c>
    </row>
    <row r="21" spans="1:53" s="2016" customFormat="1" ht="14.25" hidden="1" customHeight="1">
      <c r="L21" s="1246"/>
      <c r="M21" s="1279"/>
      <c r="N21" s="1279"/>
      <c r="O21" s="1279"/>
      <c r="P21" s="1279"/>
      <c r="Q21" s="1288"/>
      <c r="R21" s="1288"/>
      <c r="S21" s="663"/>
      <c r="AC21" s="1283"/>
      <c r="AK21" s="1283"/>
      <c r="AL21" s="2250"/>
      <c r="AM21" s="2250"/>
      <c r="AN21" s="2250"/>
      <c r="AO21" s="2250"/>
      <c r="AP21" s="2250"/>
      <c r="AQ21" s="2250"/>
      <c r="AR21" s="2250"/>
      <c r="AS21" s="2250"/>
      <c r="AV21" s="445"/>
      <c r="AW21" s="445"/>
      <c r="AX21" s="445"/>
      <c r="AY21" s="445"/>
      <c r="AZ21" s="445"/>
      <c r="BA21" s="1077">
        <v>0</v>
      </c>
    </row>
    <row r="22" spans="1:53" s="2016" customFormat="1" ht="14.25" hidden="1" customHeight="1">
      <c r="L22" s="1246"/>
      <c r="M22" s="1279"/>
      <c r="N22" s="1279"/>
      <c r="O22" s="1281" t="s">
        <v>450</v>
      </c>
      <c r="P22" s="1279"/>
      <c r="Q22" s="1288"/>
      <c r="R22" s="1288"/>
      <c r="S22" s="663"/>
      <c r="T22" s="1077" t="s">
        <v>451</v>
      </c>
      <c r="AA22" s="121" t="s">
        <v>452</v>
      </c>
      <c r="AC22" s="121" t="s">
        <v>453</v>
      </c>
      <c r="AD22" s="1077" t="s">
        <v>451</v>
      </c>
      <c r="AI22" s="121" t="s">
        <v>454</v>
      </c>
      <c r="AK22" s="121" t="s">
        <v>453</v>
      </c>
      <c r="AL22" s="2250"/>
      <c r="AM22" s="2250"/>
      <c r="AN22" s="2250"/>
      <c r="AO22" s="2250"/>
      <c r="AP22" s="2250"/>
      <c r="AQ22" s="2252" t="s">
        <v>452</v>
      </c>
      <c r="AR22" s="2250"/>
      <c r="AS22" s="2252" t="s">
        <v>453</v>
      </c>
      <c r="AV22" s="445"/>
      <c r="AW22" s="445"/>
      <c r="AX22" s="445"/>
      <c r="AY22" s="445"/>
      <c r="AZ22" s="445"/>
      <c r="BA22" s="1077">
        <v>0</v>
      </c>
    </row>
    <row r="23" spans="1:53" ht="14.25" hidden="1" customHeight="1">
      <c r="O23" s="1281"/>
      <c r="AL23" s="2219"/>
      <c r="AM23" s="2219"/>
      <c r="AN23" s="2219"/>
      <c r="AO23" s="2219"/>
      <c r="AP23" s="2219"/>
      <c r="AQ23" s="2219"/>
      <c r="AR23" s="2219"/>
      <c r="AS23" s="2219"/>
      <c r="BA23" s="1072">
        <v>0</v>
      </c>
    </row>
    <row r="24" spans="1:53" ht="14.25" hidden="1" customHeight="1">
      <c r="O24" s="1281"/>
      <c r="AL24" s="2219"/>
      <c r="AM24" s="2219"/>
      <c r="AN24" s="2219"/>
      <c r="AO24" s="2219"/>
      <c r="AP24" s="2219"/>
      <c r="AQ24" s="2219"/>
      <c r="AR24" s="2219"/>
      <c r="AS24" s="2219"/>
      <c r="BA24" s="1072">
        <v>0</v>
      </c>
    </row>
    <row r="25" spans="1:53" ht="14.65" customHeight="1">
      <c r="Q25" s="310"/>
      <c r="R25" s="310"/>
      <c r="S25" s="1192"/>
      <c r="T25" s="297"/>
      <c r="U25" s="297"/>
      <c r="V25" s="443"/>
      <c r="W25" s="443"/>
      <c r="X25" s="443"/>
      <c r="Y25" s="443"/>
      <c r="Z25" s="443"/>
      <c r="AA25" s="443"/>
      <c r="AB25" s="443"/>
      <c r="AC25" s="443"/>
      <c r="AD25" s="443"/>
      <c r="AE25" s="443"/>
      <c r="AF25" s="443"/>
      <c r="AG25" s="443"/>
      <c r="AH25" s="443"/>
      <c r="AI25" s="443"/>
      <c r="AJ25" s="443"/>
      <c r="AK25" s="443"/>
      <c r="AL25" s="2219"/>
      <c r="AM25" s="2219"/>
      <c r="AN25" s="2219"/>
      <c r="AO25" s="2219"/>
      <c r="AP25" s="2219"/>
      <c r="AQ25" s="2219"/>
      <c r="AR25" s="2219"/>
      <c r="AS25" s="2219"/>
      <c r="BA25" s="1072">
        <v>14</v>
      </c>
    </row>
    <row r="26" spans="1:53" ht="63" customHeight="1">
      <c r="Q26" s="310"/>
      <c r="R26" s="310"/>
      <c r="S26" s="3183"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3183"/>
      <c r="U26" s="3183"/>
      <c r="V26" s="3183"/>
      <c r="W26" s="3183"/>
      <c r="X26" s="3183"/>
      <c r="Y26" s="3183"/>
      <c r="Z26" s="3183"/>
      <c r="AA26" s="3183"/>
      <c r="AB26" s="3183"/>
      <c r="AC26" s="3183"/>
      <c r="AD26" s="3183"/>
      <c r="AE26" s="3183"/>
      <c r="AF26" s="3183"/>
      <c r="AG26" s="3183"/>
      <c r="AH26" s="3183"/>
      <c r="AI26" s="3183"/>
      <c r="AJ26" s="3183"/>
      <c r="AK26" s="1160"/>
      <c r="AL26" s="2253"/>
      <c r="AM26" s="2253"/>
      <c r="AN26" s="2253"/>
      <c r="AO26" s="2253"/>
      <c r="AP26" s="2253"/>
      <c r="AQ26" s="2253"/>
      <c r="AR26" s="2253"/>
      <c r="AS26" s="2253"/>
      <c r="BA26" s="1072">
        <v>60</v>
      </c>
    </row>
    <row r="27" spans="1:53" ht="14.65" customHeight="1">
      <c r="Q27" s="310"/>
      <c r="R27" s="310"/>
      <c r="S27" s="3131" t="str">
        <f>IF(org=0,"Не определено",org)</f>
        <v>ООО "РСО"</v>
      </c>
      <c r="T27" s="3131"/>
      <c r="U27" s="3131"/>
      <c r="V27" s="3131"/>
      <c r="W27" s="3131"/>
      <c r="X27" s="3131"/>
      <c r="Y27" s="3131"/>
      <c r="Z27" s="3131"/>
      <c r="AA27" s="3131"/>
      <c r="AB27" s="3131"/>
      <c r="AC27" s="3131"/>
      <c r="AD27" s="3131"/>
      <c r="AE27" s="3131"/>
      <c r="AF27" s="3131"/>
      <c r="AG27" s="3131"/>
      <c r="AH27" s="3131"/>
      <c r="AI27" s="3131"/>
      <c r="AJ27" s="3131"/>
      <c r="AK27" s="1160"/>
      <c r="AL27" s="2254"/>
      <c r="AM27" s="2254"/>
      <c r="AN27" s="2254"/>
      <c r="AO27" s="2254"/>
      <c r="AP27" s="2254"/>
      <c r="AQ27" s="2254"/>
      <c r="AR27" s="2254"/>
      <c r="AS27" s="2254"/>
      <c r="BA27" s="1072">
        <v>14</v>
      </c>
    </row>
    <row r="28" spans="1:53" ht="14.25" hidden="1" customHeight="1">
      <c r="Q28" s="310"/>
      <c r="R28" s="310"/>
      <c r="S28" s="1192"/>
      <c r="T28" s="297"/>
      <c r="U28" s="297"/>
      <c r="V28" s="257"/>
      <c r="W28" s="257"/>
      <c r="X28" s="257"/>
      <c r="Y28" s="257"/>
      <c r="Z28" s="257"/>
      <c r="AA28" s="257"/>
      <c r="AB28" s="257"/>
      <c r="AC28" s="257"/>
      <c r="AD28" s="257"/>
      <c r="AE28" s="257"/>
      <c r="AF28" s="257"/>
      <c r="AG28" s="257"/>
      <c r="AH28" s="257"/>
      <c r="AI28" s="257"/>
      <c r="AJ28" s="257"/>
      <c r="AK28" s="257"/>
      <c r="AL28" s="2255"/>
      <c r="AM28" s="2255"/>
      <c r="AN28" s="2255"/>
      <c r="AO28" s="2255"/>
      <c r="AP28" s="2255"/>
      <c r="AQ28" s="2255"/>
      <c r="AR28" s="2255"/>
      <c r="AS28" s="2255"/>
      <c r="AT28" s="443"/>
      <c r="BA28" s="1072">
        <v>0</v>
      </c>
    </row>
    <row r="29" spans="1:53" s="2028" customFormat="1" ht="25.5" hidden="1" customHeight="1">
      <c r="A29" s="1285"/>
      <c r="B29" s="1285"/>
      <c r="C29" s="1285"/>
      <c r="D29" s="1285"/>
      <c r="E29" s="1285"/>
      <c r="F29" s="1285"/>
      <c r="G29" s="1285"/>
      <c r="H29" s="1285"/>
      <c r="I29" s="1285"/>
      <c r="J29" s="1285"/>
      <c r="K29" s="1285"/>
      <c r="L29" s="1286"/>
      <c r="M29" s="1285"/>
      <c r="N29" s="1285"/>
      <c r="O29" s="1285"/>
      <c r="S29" s="3191" t="s">
        <v>42</v>
      </c>
      <c r="T29" s="3191"/>
      <c r="U29" s="1289"/>
      <c r="V29" s="3192" t="str">
        <f>IF(TITLE_NAME_OR_PR_CHANGE="",IF(TITLE_NAME_OR_PR="","",TITLE_NAME_OR_PR),TITLE_NAME_OR_PR_CHANGE)</f>
        <v/>
      </c>
      <c r="W29" s="3192"/>
      <c r="X29" s="3192"/>
      <c r="Y29" s="3192"/>
      <c r="Z29" s="3192"/>
      <c r="AA29" s="3192"/>
      <c r="AB29" s="3192"/>
      <c r="AC29" s="261"/>
      <c r="AD29" s="3192" t="str">
        <f>IF(TITLE_NAME_OR_PR_CHANGE="",IF(TITLE_NAME_OR_PR="","",TITLE_NAME_OR_PR),TITLE_NAME_OR_PR_CHANGE)</f>
        <v/>
      </c>
      <c r="AE29" s="3192"/>
      <c r="AF29" s="3192"/>
      <c r="AG29" s="3192"/>
      <c r="AH29" s="3192"/>
      <c r="AI29" s="3192"/>
      <c r="AJ29" s="3192"/>
      <c r="AK29" s="261"/>
      <c r="AL29" s="3192" t="str">
        <f>IF(TITLE_NAME_OR_PR_CHANGE="",IF(TITLE_NAME_OR_PR="","",TITLE_NAME_OR_PR),TITLE_NAME_OR_PR_CHANGE)</f>
        <v/>
      </c>
      <c r="AM29" s="3192"/>
      <c r="AN29" s="3192"/>
      <c r="AO29" s="3192"/>
      <c r="AP29" s="3192"/>
      <c r="AQ29" s="3192"/>
      <c r="AR29" s="3192"/>
      <c r="AS29" s="2219"/>
      <c r="AT29" s="261"/>
      <c r="AU29" s="215"/>
      <c r="AV29" s="302"/>
      <c r="AW29" s="302"/>
      <c r="AX29" s="302"/>
      <c r="AY29" s="302"/>
      <c r="AZ29" s="302"/>
      <c r="BA29" s="352">
        <v>0</v>
      </c>
    </row>
    <row r="30" spans="1:53" s="2028" customFormat="1" ht="18.75" hidden="1" customHeight="1">
      <c r="A30" s="1285"/>
      <c r="B30" s="1285"/>
      <c r="C30" s="1285"/>
      <c r="D30" s="1285"/>
      <c r="E30" s="1285"/>
      <c r="F30" s="1285"/>
      <c r="G30" s="1285"/>
      <c r="H30" s="1285"/>
      <c r="I30" s="1285"/>
      <c r="J30" s="1285"/>
      <c r="K30" s="1285"/>
      <c r="L30" s="1286"/>
      <c r="M30" s="1285"/>
      <c r="N30" s="1285"/>
      <c r="O30" s="1285"/>
      <c r="S30" s="3191" t="s">
        <v>455</v>
      </c>
      <c r="T30" s="3191"/>
      <c r="U30" s="1289"/>
      <c r="V30" s="3201">
        <f>IF(TITLE_DATE_PR_CHANGE="",IF(TITLE_DATE_PR="","",TITLE_DATE_PR),TITLE_DATE_PR_CHANGE)</f>
        <v>45408</v>
      </c>
      <c r="W30" s="3201"/>
      <c r="X30" s="3201"/>
      <c r="Y30" s="3201"/>
      <c r="Z30" s="3201"/>
      <c r="AA30" s="3201"/>
      <c r="AB30" s="3201"/>
      <c r="AC30" s="261"/>
      <c r="AD30" s="3201">
        <f>IF(TITLE_DATE_PR_CHANGE="",IF(TITLE_DATE_PR="","",TITLE_DATE_PR),TITLE_DATE_PR_CHANGE)</f>
        <v>45408</v>
      </c>
      <c r="AE30" s="3201"/>
      <c r="AF30" s="3201"/>
      <c r="AG30" s="3201"/>
      <c r="AH30" s="3201"/>
      <c r="AI30" s="3201"/>
      <c r="AJ30" s="3201"/>
      <c r="AK30" s="261"/>
      <c r="AL30" s="3201">
        <f>IF(TITLE_DATE_PR_CHANGE="",IF(TITLE_DATE_PR="","",TITLE_DATE_PR),TITLE_DATE_PR_CHANGE)</f>
        <v>45408</v>
      </c>
      <c r="AM30" s="3201"/>
      <c r="AN30" s="3201"/>
      <c r="AO30" s="3201"/>
      <c r="AP30" s="3201"/>
      <c r="AQ30" s="3201"/>
      <c r="AR30" s="3201"/>
      <c r="AS30" s="2219"/>
      <c r="AT30" s="261"/>
      <c r="AU30" s="215"/>
      <c r="AV30" s="302"/>
      <c r="AW30" s="302"/>
      <c r="AX30" s="302"/>
      <c r="AY30" s="302"/>
      <c r="AZ30" s="302"/>
      <c r="BA30" s="352">
        <v>0</v>
      </c>
    </row>
    <row r="31" spans="1:53" s="2028" customFormat="1" ht="18.75" hidden="1" customHeight="1">
      <c r="A31" s="1285"/>
      <c r="B31" s="1285"/>
      <c r="C31" s="1285"/>
      <c r="D31" s="1285"/>
      <c r="E31" s="1285"/>
      <c r="F31" s="1285"/>
      <c r="G31" s="1285"/>
      <c r="H31" s="1285"/>
      <c r="I31" s="1285"/>
      <c r="J31" s="1285"/>
      <c r="K31" s="1285"/>
      <c r="L31" s="1286"/>
      <c r="M31" s="1285"/>
      <c r="N31" s="1285"/>
      <c r="O31" s="1285"/>
      <c r="S31" s="3191" t="s">
        <v>456</v>
      </c>
      <c r="T31" s="3191"/>
      <c r="U31" s="1289"/>
      <c r="V31" s="3192" t="str">
        <f>IF(TITLE_NUMBER_PR_CHANGE="",IF(TITLE_NUMBER_PR="","",TITLE_NUMBER_PR),TITLE_NUMBER_PR_CHANGE)</f>
        <v>04-24/132, 04-24/131</v>
      </c>
      <c r="W31" s="3192"/>
      <c r="X31" s="3192"/>
      <c r="Y31" s="3192"/>
      <c r="Z31" s="3192"/>
      <c r="AA31" s="3192"/>
      <c r="AB31" s="3192"/>
      <c r="AC31" s="261"/>
      <c r="AD31" s="3192" t="str">
        <f>IF(TITLE_NUMBER_PR_CHANGE="",IF(TITLE_NUMBER_PR="","",TITLE_NUMBER_PR),TITLE_NUMBER_PR_CHANGE)</f>
        <v>04-24/132, 04-24/131</v>
      </c>
      <c r="AE31" s="3192"/>
      <c r="AF31" s="3192"/>
      <c r="AG31" s="3192"/>
      <c r="AH31" s="3192"/>
      <c r="AI31" s="3192"/>
      <c r="AJ31" s="3192"/>
      <c r="AK31" s="261"/>
      <c r="AL31" s="3192" t="str">
        <f>IF(TITLE_NUMBER_PR_CHANGE="",IF(TITLE_NUMBER_PR="","",TITLE_NUMBER_PR),TITLE_NUMBER_PR_CHANGE)</f>
        <v>04-24/132, 04-24/131</v>
      </c>
      <c r="AM31" s="3192"/>
      <c r="AN31" s="3192"/>
      <c r="AO31" s="3192"/>
      <c r="AP31" s="3192"/>
      <c r="AQ31" s="3192"/>
      <c r="AR31" s="3192"/>
      <c r="AS31" s="2219"/>
      <c r="AT31" s="261"/>
      <c r="AU31" s="215"/>
      <c r="AV31" s="302"/>
      <c r="AW31" s="302"/>
      <c r="AX31" s="302"/>
      <c r="AY31" s="302"/>
      <c r="AZ31" s="302"/>
      <c r="BA31" s="352">
        <v>0</v>
      </c>
    </row>
    <row r="32" spans="1:53" s="2028" customFormat="1" ht="18.75" hidden="1" customHeight="1">
      <c r="A32" s="1285"/>
      <c r="B32" s="1285"/>
      <c r="C32" s="1285"/>
      <c r="D32" s="1285"/>
      <c r="E32" s="1285"/>
      <c r="F32" s="1285"/>
      <c r="G32" s="1285"/>
      <c r="H32" s="1285"/>
      <c r="I32" s="1285"/>
      <c r="J32" s="1285"/>
      <c r="K32" s="1285"/>
      <c r="L32" s="1286"/>
      <c r="M32" s="1285"/>
      <c r="N32" s="1285"/>
      <c r="O32" s="1285"/>
      <c r="S32" s="3191" t="s">
        <v>43</v>
      </c>
      <c r="T32" s="3191"/>
      <c r="U32" s="1289"/>
      <c r="V32" s="3192" t="str">
        <f>IF(TITLE_IST_PUB_CHANGE="",IF(TITLE_IST_PUB="","",TITLE_IST_PUB),TITLE_IST_PUB_CHANGE)</f>
        <v/>
      </c>
      <c r="W32" s="3192"/>
      <c r="X32" s="3192"/>
      <c r="Y32" s="3192"/>
      <c r="Z32" s="3192"/>
      <c r="AA32" s="3192"/>
      <c r="AB32" s="3192"/>
      <c r="AC32" s="261"/>
      <c r="AD32" s="3192" t="str">
        <f>IF(TITLE_IST_PUB_CHANGE="",IF(TITLE_IST_PUB="","",TITLE_IST_PUB),TITLE_IST_PUB_CHANGE)</f>
        <v/>
      </c>
      <c r="AE32" s="3192"/>
      <c r="AF32" s="3192"/>
      <c r="AG32" s="3192"/>
      <c r="AH32" s="3192"/>
      <c r="AI32" s="3192"/>
      <c r="AJ32" s="3192"/>
      <c r="AK32" s="261"/>
      <c r="AL32" s="3192" t="str">
        <f>IF(TITLE_IST_PUB_CHANGE="",IF(TITLE_IST_PUB="","",TITLE_IST_PUB),TITLE_IST_PUB_CHANGE)</f>
        <v/>
      </c>
      <c r="AM32" s="3192"/>
      <c r="AN32" s="3192"/>
      <c r="AO32" s="3192"/>
      <c r="AP32" s="3192"/>
      <c r="AQ32" s="3192"/>
      <c r="AR32" s="3192"/>
      <c r="AS32" s="2219"/>
      <c r="AT32" s="261"/>
      <c r="AU32" s="215"/>
      <c r="AV32" s="302"/>
      <c r="AW32" s="302"/>
      <c r="AX32" s="302"/>
      <c r="AY32" s="302"/>
      <c r="AZ32" s="302"/>
      <c r="BA32" s="352">
        <v>0</v>
      </c>
    </row>
    <row r="33" spans="1:53" ht="14.25" customHeight="1">
      <c r="Q33" s="310"/>
      <c r="R33" s="310"/>
      <c r="S33" s="1192"/>
      <c r="T33" s="297"/>
      <c r="U33" s="297"/>
      <c r="V33" s="257"/>
      <c r="W33" s="257"/>
      <c r="X33" s="257"/>
      <c r="Y33" s="257"/>
      <c r="Z33" s="257"/>
      <c r="AA33" s="257"/>
      <c r="AB33" s="257"/>
      <c r="AC33" s="257"/>
      <c r="AD33" s="257"/>
      <c r="AE33" s="257"/>
      <c r="AF33" s="257"/>
      <c r="AG33" s="257"/>
      <c r="AH33" s="257"/>
      <c r="AI33" s="257"/>
      <c r="AJ33" s="257"/>
      <c r="AK33" s="257"/>
      <c r="AL33" s="2255"/>
      <c r="AM33" s="2255"/>
      <c r="AN33" s="2255"/>
      <c r="AO33" s="2255"/>
      <c r="AP33" s="2255"/>
      <c r="AQ33" s="2255"/>
      <c r="AR33" s="2255"/>
      <c r="AS33" s="2255"/>
      <c r="AT33" s="443"/>
      <c r="BA33" s="1072">
        <v>0</v>
      </c>
    </row>
    <row r="34" spans="1:53" s="2028" customFormat="1" ht="18.75" customHeight="1">
      <c r="A34" s="1285"/>
      <c r="B34" s="1285"/>
      <c r="C34" s="1285"/>
      <c r="D34" s="1285"/>
      <c r="E34" s="1285"/>
      <c r="F34" s="1285"/>
      <c r="G34" s="1285"/>
      <c r="H34" s="1285"/>
      <c r="I34" s="1285"/>
      <c r="J34" s="1285"/>
      <c r="K34" s="1285"/>
      <c r="L34" s="1286"/>
      <c r="M34" s="1285"/>
      <c r="N34" s="1285"/>
      <c r="O34" s="1285"/>
      <c r="S34" s="3191" t="s">
        <v>457</v>
      </c>
      <c r="T34" s="3191"/>
      <c r="U34" s="1289"/>
      <c r="V34" s="3201">
        <f>IF(TITLE_DATE_PR_CHANGE="",IF(TITLE_DATE_PR="","",TITLE_DATE_PR),TITLE_DATE_PR_CHANGE)</f>
        <v>45408</v>
      </c>
      <c r="W34" s="3201"/>
      <c r="X34" s="3201"/>
      <c r="Y34" s="3201"/>
      <c r="Z34" s="3201"/>
      <c r="AA34" s="3201"/>
      <c r="AB34" s="3201"/>
      <c r="AC34" s="261"/>
      <c r="AD34" s="3201">
        <f>IF(TITLE_DATE_PR_CHANGE="",IF(TITLE_DATE_PR="","",TITLE_DATE_PR),TITLE_DATE_PR_CHANGE)</f>
        <v>45408</v>
      </c>
      <c r="AE34" s="3201"/>
      <c r="AF34" s="3201"/>
      <c r="AG34" s="3201"/>
      <c r="AH34" s="3201"/>
      <c r="AI34" s="3201"/>
      <c r="AJ34" s="3201"/>
      <c r="AK34" s="261"/>
      <c r="AL34" s="3201">
        <f>IF(TITLE_DATE_PR_CHANGE="",IF(TITLE_DATE_PR="","",TITLE_DATE_PR),TITLE_DATE_PR_CHANGE)</f>
        <v>45408</v>
      </c>
      <c r="AM34" s="3201"/>
      <c r="AN34" s="3201"/>
      <c r="AO34" s="3201"/>
      <c r="AP34" s="3201"/>
      <c r="AQ34" s="3201"/>
      <c r="AR34" s="3201"/>
      <c r="AS34" s="2219"/>
      <c r="AT34" s="261"/>
      <c r="AU34" s="215"/>
      <c r="AV34" s="302"/>
      <c r="AW34" s="302"/>
      <c r="AX34" s="302"/>
      <c r="AY34" s="302"/>
      <c r="AZ34" s="302"/>
      <c r="BA34" s="352">
        <v>0</v>
      </c>
    </row>
    <row r="35" spans="1:53" s="2028" customFormat="1" ht="18.75" customHeight="1">
      <c r="A35" s="1285"/>
      <c r="B35" s="1285"/>
      <c r="C35" s="1285"/>
      <c r="D35" s="1285"/>
      <c r="E35" s="1285"/>
      <c r="F35" s="1285"/>
      <c r="G35" s="1285"/>
      <c r="H35" s="1285"/>
      <c r="I35" s="1285"/>
      <c r="J35" s="1285"/>
      <c r="K35" s="1285"/>
      <c r="L35" s="1286"/>
      <c r="M35" s="1285"/>
      <c r="N35" s="1285"/>
      <c r="O35" s="1285"/>
      <c r="S35" s="3191" t="s">
        <v>458</v>
      </c>
      <c r="T35" s="3191"/>
      <c r="U35" s="1289"/>
      <c r="V35" s="3192" t="str">
        <f>IF(TITLE_NUMBER_PR_CHANGE="",IF(TITLE_NUMBER_PR="","",TITLE_NUMBER_PR),TITLE_NUMBER_PR_CHANGE)</f>
        <v>04-24/132, 04-24/131</v>
      </c>
      <c r="W35" s="3192"/>
      <c r="X35" s="3192"/>
      <c r="Y35" s="3192"/>
      <c r="Z35" s="3192"/>
      <c r="AA35" s="3192"/>
      <c r="AB35" s="3192"/>
      <c r="AC35" s="261"/>
      <c r="AD35" s="3192" t="str">
        <f>IF(TITLE_NUMBER_PR_CHANGE="",IF(TITLE_NUMBER_PR="","",TITLE_NUMBER_PR),TITLE_NUMBER_PR_CHANGE)</f>
        <v>04-24/132, 04-24/131</v>
      </c>
      <c r="AE35" s="3192"/>
      <c r="AF35" s="3192"/>
      <c r="AG35" s="3192"/>
      <c r="AH35" s="3192"/>
      <c r="AI35" s="3192"/>
      <c r="AJ35" s="3192"/>
      <c r="AK35" s="261"/>
      <c r="AL35" s="3192" t="str">
        <f>IF(TITLE_NUMBER_PR_CHANGE="",IF(TITLE_NUMBER_PR="","",TITLE_NUMBER_PR),TITLE_NUMBER_PR_CHANGE)</f>
        <v>04-24/132, 04-24/131</v>
      </c>
      <c r="AM35" s="3192"/>
      <c r="AN35" s="3192"/>
      <c r="AO35" s="3192"/>
      <c r="AP35" s="3192"/>
      <c r="AQ35" s="3192"/>
      <c r="AR35" s="3192"/>
      <c r="AS35" s="2219"/>
      <c r="AT35" s="261"/>
      <c r="AU35" s="215"/>
      <c r="AV35" s="302"/>
      <c r="AW35" s="302"/>
      <c r="AX35" s="302"/>
      <c r="AY35" s="302"/>
      <c r="AZ35" s="302"/>
      <c r="BA35" s="352">
        <v>0</v>
      </c>
    </row>
    <row r="36" spans="1:53" s="2028" customFormat="1" ht="0" hidden="1" customHeight="1">
      <c r="A36" s="1285"/>
      <c r="B36" s="1285"/>
      <c r="C36" s="1285"/>
      <c r="D36" s="1285"/>
      <c r="E36" s="1285"/>
      <c r="F36" s="1285"/>
      <c r="G36" s="1285"/>
      <c r="H36" s="1285"/>
      <c r="I36" s="1285"/>
      <c r="J36" s="1285"/>
      <c r="K36" s="1285"/>
      <c r="L36" s="1286"/>
      <c r="M36" s="1285"/>
      <c r="N36" s="1285"/>
      <c r="O36" s="1285"/>
      <c r="S36" s="258"/>
      <c r="T36" s="258"/>
      <c r="U36" s="1257"/>
      <c r="V36" s="261"/>
      <c r="W36" s="261"/>
      <c r="X36" s="261"/>
      <c r="Y36" s="261"/>
      <c r="Z36" s="261"/>
      <c r="AA36" s="261"/>
      <c r="AB36" s="261"/>
      <c r="AC36" s="213" t="s">
        <v>459</v>
      </c>
      <c r="AD36" s="261"/>
      <c r="AE36" s="261"/>
      <c r="AF36" s="261"/>
      <c r="AG36" s="261"/>
      <c r="AH36" s="261"/>
      <c r="AI36" s="261"/>
      <c r="AJ36" s="261"/>
      <c r="AK36" s="213" t="s">
        <v>459</v>
      </c>
      <c r="AL36" s="2219"/>
      <c r="AM36" s="2219"/>
      <c r="AN36" s="2219"/>
      <c r="AO36" s="2219"/>
      <c r="AP36" s="2219"/>
      <c r="AQ36" s="2219"/>
      <c r="AR36" s="2219"/>
      <c r="AS36" s="2256" t="s">
        <v>459</v>
      </c>
      <c r="AV36" s="302"/>
      <c r="AW36" s="302"/>
      <c r="AX36" s="302"/>
      <c r="AY36" s="302"/>
      <c r="AZ36" s="302"/>
      <c r="BA36" s="352">
        <v>0</v>
      </c>
    </row>
    <row r="37" spans="1:53" ht="14.65" customHeight="1">
      <c r="Q37" s="310"/>
      <c r="R37" s="310"/>
      <c r="S37" s="1192"/>
      <c r="T37" s="297"/>
      <c r="U37" s="1161"/>
      <c r="V37" s="3193"/>
      <c r="W37" s="3193"/>
      <c r="X37" s="3193"/>
      <c r="Y37" s="3193"/>
      <c r="Z37" s="3193"/>
      <c r="AA37" s="3193"/>
      <c r="AB37" s="3193"/>
      <c r="AC37" s="3193"/>
      <c r="AD37" s="3193"/>
      <c r="AE37" s="3193"/>
      <c r="AF37" s="3193"/>
      <c r="AG37" s="3193"/>
      <c r="AH37" s="3193"/>
      <c r="AI37" s="3193"/>
      <c r="AJ37" s="3193"/>
      <c r="AK37" s="3193"/>
      <c r="AL37" s="3193" t="s">
        <v>105</v>
      </c>
      <c r="AM37" s="3193"/>
      <c r="AN37" s="3193"/>
      <c r="AO37" s="3193"/>
      <c r="AP37" s="3193"/>
      <c r="AQ37" s="3193"/>
      <c r="AR37" s="3193"/>
      <c r="AS37" s="3193"/>
      <c r="BA37" s="1072">
        <v>14</v>
      </c>
    </row>
    <row r="38" spans="1:53" ht="14.65" customHeight="1">
      <c r="Q38" s="310"/>
      <c r="R38" s="310"/>
      <c r="S38" s="3067" t="s">
        <v>335</v>
      </c>
      <c r="T38" s="3067"/>
      <c r="U38" s="3067"/>
      <c r="V38" s="3067"/>
      <c r="W38" s="3067"/>
      <c r="X38" s="3067"/>
      <c r="Y38" s="3067"/>
      <c r="Z38" s="3067"/>
      <c r="AA38" s="3067"/>
      <c r="AB38" s="3067"/>
      <c r="AC38" s="3067"/>
      <c r="AD38" s="3067"/>
      <c r="AE38" s="3067"/>
      <c r="AF38" s="3067"/>
      <c r="AG38" s="3067"/>
      <c r="AH38" s="3067"/>
      <c r="AI38" s="3067"/>
      <c r="AJ38" s="3067"/>
      <c r="AK38" s="3067"/>
      <c r="AL38" s="3067" t="s">
        <v>335</v>
      </c>
      <c r="AM38" s="3067"/>
      <c r="AN38" s="3067"/>
      <c r="AO38" s="3067"/>
      <c r="AP38" s="3067"/>
      <c r="AQ38" s="3067"/>
      <c r="AR38" s="3067"/>
      <c r="AS38" s="3067"/>
      <c r="AT38" s="3067"/>
      <c r="AU38" s="3067"/>
      <c r="BA38" s="1072"/>
    </row>
    <row r="39" spans="1:53" ht="14.65" customHeight="1">
      <c r="Q39" s="310"/>
      <c r="R39" s="310"/>
      <c r="S39" s="3207" t="s">
        <v>89</v>
      </c>
      <c r="T39" s="3159" t="s">
        <v>460</v>
      </c>
      <c r="U39" s="236"/>
      <c r="V39" s="3208" t="s">
        <v>461</v>
      </c>
      <c r="W39" s="3209"/>
      <c r="X39" s="3209"/>
      <c r="Y39" s="3209"/>
      <c r="Z39" s="3209"/>
      <c r="AA39" s="3209"/>
      <c r="AB39" s="3210"/>
      <c r="AC39" s="3211" t="s">
        <v>462</v>
      </c>
      <c r="AD39" s="3208" t="s">
        <v>461</v>
      </c>
      <c r="AE39" s="3209"/>
      <c r="AF39" s="3209"/>
      <c r="AG39" s="3209"/>
      <c r="AH39" s="3209"/>
      <c r="AI39" s="3209"/>
      <c r="AJ39" s="3210"/>
      <c r="AK39" s="3211" t="s">
        <v>463</v>
      </c>
      <c r="AL39" s="3208" t="s">
        <v>461</v>
      </c>
      <c r="AM39" s="3209"/>
      <c r="AN39" s="3209"/>
      <c r="AO39" s="3209"/>
      <c r="AP39" s="3209"/>
      <c r="AQ39" s="3209"/>
      <c r="AR39" s="3210"/>
      <c r="AS39" s="3211" t="s">
        <v>462</v>
      </c>
      <c r="AT39" s="3214" t="s">
        <v>464</v>
      </c>
      <c r="AU39" s="3067"/>
      <c r="BA39" s="1072">
        <v>14</v>
      </c>
    </row>
    <row r="40" spans="1:53" ht="35.65" customHeight="1">
      <c r="Q40" s="310"/>
      <c r="R40" s="310"/>
      <c r="S40" s="3207"/>
      <c r="T40" s="3159"/>
      <c r="U40" s="952"/>
      <c r="V40" s="3130" t="s">
        <v>465</v>
      </c>
      <c r="W40" s="3217"/>
      <c r="X40" s="3038" t="s">
        <v>467</v>
      </c>
      <c r="Y40" s="3037"/>
      <c r="Z40" s="3038" t="s">
        <v>468</v>
      </c>
      <c r="AA40" s="3044"/>
      <c r="AB40" s="3037"/>
      <c r="AC40" s="3212"/>
      <c r="AD40" s="3130" t="s">
        <v>483</v>
      </c>
      <c r="AE40" s="3217"/>
      <c r="AF40" s="3038" t="s">
        <v>467</v>
      </c>
      <c r="AG40" s="3037"/>
      <c r="AH40" s="3038" t="s">
        <v>468</v>
      </c>
      <c r="AI40" s="3044"/>
      <c r="AJ40" s="3037"/>
      <c r="AK40" s="3212"/>
      <c r="AL40" s="3130" t="s">
        <v>465</v>
      </c>
      <c r="AM40" s="3217"/>
      <c r="AN40" s="3038" t="s">
        <v>467</v>
      </c>
      <c r="AO40" s="3037"/>
      <c r="AP40" s="3038" t="s">
        <v>468</v>
      </c>
      <c r="AQ40" s="3044"/>
      <c r="AR40" s="3037"/>
      <c r="AS40" s="3212"/>
      <c r="AT40" s="3215"/>
      <c r="AU40" s="3067"/>
      <c r="BA40" s="1072">
        <v>34</v>
      </c>
    </row>
    <row r="41" spans="1:53" ht="35.65" customHeight="1">
      <c r="A41" s="1287"/>
      <c r="B41" s="1287" t="s">
        <v>149</v>
      </c>
      <c r="C41" s="1287" t="s">
        <v>150</v>
      </c>
      <c r="D41" s="1287" t="s">
        <v>151</v>
      </c>
      <c r="E41" s="1281" t="s">
        <v>469</v>
      </c>
      <c r="F41" s="1281" t="s">
        <v>470</v>
      </c>
      <c r="G41" s="1281" t="s">
        <v>471</v>
      </c>
      <c r="H41" s="1281" t="s">
        <v>472</v>
      </c>
      <c r="I41" s="1281" t="s">
        <v>473</v>
      </c>
      <c r="J41" s="1281" t="s">
        <v>474</v>
      </c>
      <c r="K41" s="1281" t="s">
        <v>475</v>
      </c>
      <c r="L41" s="1281" t="s">
        <v>450</v>
      </c>
      <c r="Q41" s="310"/>
      <c r="R41" s="310"/>
      <c r="S41" s="3207"/>
      <c r="T41" s="3159"/>
      <c r="U41" s="237"/>
      <c r="V41" s="3178"/>
      <c r="W41" s="3218"/>
      <c r="X41" s="1139" t="s">
        <v>476</v>
      </c>
      <c r="Y41" s="1139" t="s">
        <v>477</v>
      </c>
      <c r="Z41" s="1255" t="s">
        <v>478</v>
      </c>
      <c r="AA41" s="3167" t="s">
        <v>479</v>
      </c>
      <c r="AB41" s="3169"/>
      <c r="AC41" s="3213"/>
      <c r="AD41" s="3178"/>
      <c r="AE41" s="3218"/>
      <c r="AF41" s="1139" t="s">
        <v>476</v>
      </c>
      <c r="AG41" s="1139" t="s">
        <v>477</v>
      </c>
      <c r="AH41" s="1255" t="s">
        <v>478</v>
      </c>
      <c r="AI41" s="3167" t="s">
        <v>479</v>
      </c>
      <c r="AJ41" s="3169"/>
      <c r="AK41" s="3213"/>
      <c r="AL41" s="3178"/>
      <c r="AM41" s="3218"/>
      <c r="AN41" s="2257" t="s">
        <v>476</v>
      </c>
      <c r="AO41" s="2257" t="s">
        <v>477</v>
      </c>
      <c r="AP41" s="2257" t="s">
        <v>478</v>
      </c>
      <c r="AQ41" s="3167" t="s">
        <v>479</v>
      </c>
      <c r="AR41" s="3169"/>
      <c r="AS41" s="3213"/>
      <c r="AT41" s="3216"/>
      <c r="AU41" s="3067"/>
      <c r="BA41" s="1072">
        <v>34</v>
      </c>
    </row>
    <row r="42" spans="1:53" s="2212" customFormat="1" ht="11.25" hidden="1" customHeight="1">
      <c r="A42" s="1287"/>
      <c r="B42" s="1287"/>
      <c r="C42" s="1287"/>
      <c r="D42" s="1287"/>
      <c r="E42" s="1287"/>
      <c r="F42" s="1287"/>
      <c r="G42" s="1287"/>
      <c r="H42" s="1287"/>
      <c r="I42" s="1287"/>
      <c r="J42" s="1287"/>
      <c r="K42" s="1287"/>
      <c r="L42" s="1281"/>
      <c r="M42" s="1279"/>
      <c r="N42" s="1279"/>
      <c r="O42" s="1279"/>
      <c r="P42" s="1163"/>
      <c r="Q42" s="1164"/>
      <c r="R42" s="1171">
        <v>1</v>
      </c>
      <c r="S42" s="1194" t="s">
        <v>124</v>
      </c>
      <c r="T42" s="1172" t="s">
        <v>104</v>
      </c>
      <c r="U42" s="1162" t="str">
        <f ca="1">OFFSET(U42,0,-1)</f>
        <v>2</v>
      </c>
      <c r="V42" s="1252">
        <f ca="1">OFFSET(V42,0,-1)+1</f>
        <v>3</v>
      </c>
      <c r="W42" s="1252"/>
      <c r="X42" s="1252">
        <f ca="1">OFFSET(X42,0,-1)+1</f>
        <v>1</v>
      </c>
      <c r="Y42" s="1252">
        <f ca="1">OFFSET(Y42,0,-1)+1</f>
        <v>2</v>
      </c>
      <c r="Z42" s="1252">
        <f ca="1">OFFSET(Z42,0,-1)+1</f>
        <v>3</v>
      </c>
      <c r="AA42" s="3206">
        <f ca="1">OFFSET(AA42,0,-1)+1</f>
        <v>4</v>
      </c>
      <c r="AB42" s="3206"/>
      <c r="AC42" s="1252">
        <f ca="1">OFFSET(AC42,0,-2)+1</f>
        <v>5</v>
      </c>
      <c r="AD42" s="1252">
        <f ca="1">OFFSET(AD42,0,-1)+1</f>
        <v>6</v>
      </c>
      <c r="AE42" s="1252"/>
      <c r="AF42" s="1252">
        <f ca="1">OFFSET(AF42,0,-1)+1</f>
        <v>1</v>
      </c>
      <c r="AG42" s="1252">
        <f ca="1">OFFSET(AG42,0,-1)+1</f>
        <v>2</v>
      </c>
      <c r="AH42" s="1252">
        <f ca="1">OFFSET(AH42,0,-1)+1</f>
        <v>3</v>
      </c>
      <c r="AI42" s="3206">
        <f ca="1">OFFSET(AI42,0,-1)+1</f>
        <v>4</v>
      </c>
      <c r="AJ42" s="3206"/>
      <c r="AK42" s="1252">
        <f ca="1">OFFSET(AK42,0,-2)+1</f>
        <v>5</v>
      </c>
      <c r="AL42" s="2258">
        <f ca="1">OFFSET(AL42,0,-1)+1</f>
        <v>6</v>
      </c>
      <c r="AM42" s="2258"/>
      <c r="AN42" s="2258">
        <f ca="1">OFFSET(AN42,0,-1)+1</f>
        <v>1</v>
      </c>
      <c r="AO42" s="2258">
        <f ca="1">OFFSET(AO42,0,-1)+1</f>
        <v>2</v>
      </c>
      <c r="AP42" s="2258">
        <f ca="1">OFFSET(AP42,0,-1)+1</f>
        <v>3</v>
      </c>
      <c r="AQ42" s="3206">
        <f ca="1">OFFSET(AQ42,0,-1)+1</f>
        <v>4</v>
      </c>
      <c r="AR42" s="3206"/>
      <c r="AS42" s="2258">
        <f ca="1">OFFSET(AS42,0,-2)+1</f>
        <v>5</v>
      </c>
      <c r="AT42" s="1162">
        <f ca="1">OFFSET(AT42,0,-1)</f>
        <v>5</v>
      </c>
      <c r="AU42" s="1252">
        <f ca="1">OFFSET(AU42,0,-1)+1</f>
        <v>6</v>
      </c>
      <c r="AV42" s="445"/>
      <c r="AW42" s="445"/>
      <c r="AX42" s="445"/>
      <c r="AY42" s="445"/>
      <c r="AZ42" s="445"/>
      <c r="BA42" s="430">
        <v>0</v>
      </c>
    </row>
    <row r="43" spans="1:53" ht="22" customHeight="1">
      <c r="A43" s="1280" t="s">
        <v>192</v>
      </c>
      <c r="B43" s="1280"/>
      <c r="C43" s="1280"/>
      <c r="D43" s="1280"/>
      <c r="E43" s="3199">
        <v>1</v>
      </c>
      <c r="F43" s="1280"/>
      <c r="G43" s="1280"/>
      <c r="H43" s="1280"/>
      <c r="I43" s="1280"/>
      <c r="J43" s="1280"/>
      <c r="K43" s="1280"/>
      <c r="L43" s="1281"/>
      <c r="M43" s="1282"/>
      <c r="N43" s="1282"/>
      <c r="O43" s="1282"/>
      <c r="P43" s="295"/>
      <c r="Q43" s="294"/>
      <c r="R43" s="289"/>
      <c r="S43" s="1253">
        <f>INDEX(PT_DIFFERENTIATION_NUM_NTAR,MATCH(A43,PT_DIFFERENTIATION_NTAR_ID,0))</f>
        <v>1</v>
      </c>
      <c r="T43" s="233" t="s">
        <v>137</v>
      </c>
      <c r="U43" s="235"/>
      <c r="V43" s="3185"/>
      <c r="W43" s="3186"/>
      <c r="X43" s="3186"/>
      <c r="Y43" s="3186"/>
      <c r="Z43" s="3186"/>
      <c r="AA43" s="3186"/>
      <c r="AB43" s="3186"/>
      <c r="AC43" s="3187"/>
      <c r="AD43" s="3185" t="str">
        <f>INDEX(PT_DIFFERENTIATION_NTAR,MATCH(A43,PT_DIFFERENTIATION_NTAR_ID,0))</f>
        <v/>
      </c>
      <c r="AE43" s="3186"/>
      <c r="AF43" s="3186"/>
      <c r="AG43" s="3186"/>
      <c r="AH43" s="3186"/>
      <c r="AI43" s="3186"/>
      <c r="AJ43" s="3186"/>
      <c r="AK43" s="3186"/>
      <c r="AL43" s="3185"/>
      <c r="AM43" s="3186"/>
      <c r="AN43" s="3186"/>
      <c r="AO43" s="3186"/>
      <c r="AP43" s="3186"/>
      <c r="AQ43" s="3186"/>
      <c r="AR43" s="3186"/>
      <c r="AS43" s="3187"/>
      <c r="AT43" s="3187"/>
      <c r="AU43" s="117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W43" s="434"/>
      <c r="AX43" s="434" t="str">
        <f t="shared" ref="AX43:AX81" si="1">IF(T43="","",T43)</f>
        <v>Наименование тарифа</v>
      </c>
      <c r="AY43" s="434"/>
      <c r="AZ43" s="434"/>
      <c r="BA43" s="1072">
        <v>21</v>
      </c>
    </row>
    <row r="44" spans="1:53" ht="22" customHeight="1">
      <c r="A44" s="1280" t="s">
        <v>192</v>
      </c>
      <c r="B44" s="1280" t="s">
        <v>193</v>
      </c>
      <c r="C44" s="1280"/>
      <c r="D44" s="1280"/>
      <c r="E44" s="3200"/>
      <c r="F44" s="3199">
        <v>1</v>
      </c>
      <c r="G44" s="1280"/>
      <c r="H44" s="1280"/>
      <c r="I44" s="1280"/>
      <c r="J44" s="1280"/>
      <c r="K44" s="1280"/>
      <c r="L44" s="1281"/>
      <c r="M44" s="1282"/>
      <c r="N44" s="1282"/>
      <c r="O44" s="1282"/>
      <c r="P44" s="1249"/>
      <c r="Q44" s="286"/>
      <c r="R44" s="287"/>
      <c r="S44" s="1253" t="str">
        <f>INDEX(PT_DIFFERENTIATION_NUM_TER,MATCH(B44,PT_DIFFERENTIATION_TER_ID,0))</f>
        <v>1.1</v>
      </c>
      <c r="T44" s="243" t="s">
        <v>432</v>
      </c>
      <c r="U44" s="235"/>
      <c r="V44" s="3185"/>
      <c r="W44" s="3186"/>
      <c r="X44" s="3186"/>
      <c r="Y44" s="3186"/>
      <c r="Z44" s="3186"/>
      <c r="AA44" s="3186"/>
      <c r="AB44" s="3186"/>
      <c r="AC44" s="3187"/>
      <c r="AD44" s="3185" t="str">
        <f>INDEX(PT_DIFFERENTIATION_TER,MATCH(B44,PT_DIFFERENTIATION_TER_ID,0))</f>
        <v>Территория 1</v>
      </c>
      <c r="AE44" s="3186"/>
      <c r="AF44" s="3186"/>
      <c r="AG44" s="3186"/>
      <c r="AH44" s="3186"/>
      <c r="AI44" s="3186"/>
      <c r="AJ44" s="3186"/>
      <c r="AK44" s="3186"/>
      <c r="AL44" s="3185"/>
      <c r="AM44" s="3186"/>
      <c r="AN44" s="3186"/>
      <c r="AO44" s="3186"/>
      <c r="AP44" s="3186"/>
      <c r="AQ44" s="3186"/>
      <c r="AR44" s="3186"/>
      <c r="AS44" s="3187"/>
      <c r="AT44" s="3187"/>
      <c r="AU44" s="1175" t="s">
        <v>433</v>
      </c>
      <c r="AW44" s="434"/>
      <c r="AX44" s="434" t="str">
        <f t="shared" si="1"/>
        <v>Территория действия тарифа</v>
      </c>
      <c r="AY44" s="434"/>
      <c r="AZ44" s="434"/>
      <c r="BA44" s="1072">
        <v>21</v>
      </c>
    </row>
    <row r="45" spans="1:53" ht="24" customHeight="1">
      <c r="A45" s="1280" t="s">
        <v>192</v>
      </c>
      <c r="B45" s="1280" t="s">
        <v>193</v>
      </c>
      <c r="C45" s="1280" t="s">
        <v>194</v>
      </c>
      <c r="D45" s="1280"/>
      <c r="E45" s="3200"/>
      <c r="F45" s="3200"/>
      <c r="G45" s="3199">
        <v>1</v>
      </c>
      <c r="H45" s="1280"/>
      <c r="I45" s="1280"/>
      <c r="J45" s="1280"/>
      <c r="K45" s="1280"/>
      <c r="L45" s="1281"/>
      <c r="M45" s="1282"/>
      <c r="N45" s="1282"/>
      <c r="O45" s="1282"/>
      <c r="P45" s="288"/>
      <c r="Q45" s="286"/>
      <c r="R45" s="287"/>
      <c r="S45" s="1253" t="str">
        <f>INDEX(PT_DIFFERENTIATION_NUM_CS,MATCH(C45,PT_DIFFERENTIATION_CS_ID,0))</f>
        <v>1.1.1</v>
      </c>
      <c r="T45" s="244" t="s">
        <v>434</v>
      </c>
      <c r="U45" s="235"/>
      <c r="V45" s="3185"/>
      <c r="W45" s="3186"/>
      <c r="X45" s="3186"/>
      <c r="Y45" s="3186"/>
      <c r="Z45" s="3186"/>
      <c r="AA45" s="3186"/>
      <c r="AB45" s="3186"/>
      <c r="AC45" s="3187"/>
      <c r="AD45" s="3185" t="str">
        <f>INDEX(PT_DIFFERENTIATION_CS,MATCH(C45,PT_DIFFERENTIATION_CS_ID,0))</f>
        <v>без дифференциации</v>
      </c>
      <c r="AE45" s="3186"/>
      <c r="AF45" s="3186"/>
      <c r="AG45" s="3186"/>
      <c r="AH45" s="3186"/>
      <c r="AI45" s="3186"/>
      <c r="AJ45" s="3186"/>
      <c r="AK45" s="3186"/>
      <c r="AL45" s="3185"/>
      <c r="AM45" s="3186"/>
      <c r="AN45" s="3186"/>
      <c r="AO45" s="3186"/>
      <c r="AP45" s="3186"/>
      <c r="AQ45" s="3186"/>
      <c r="AR45" s="3186"/>
      <c r="AS45" s="3187"/>
      <c r="AT45" s="3187"/>
      <c r="AU45" s="1175" t="s">
        <v>435</v>
      </c>
      <c r="AW45" s="434"/>
      <c r="AX45" s="434" t="str">
        <f t="shared" si="1"/>
        <v xml:space="preserve">Наименование системы теплоснабжения </v>
      </c>
      <c r="AY45" s="434"/>
      <c r="AZ45" s="434"/>
      <c r="BA45" s="1072">
        <v>23</v>
      </c>
    </row>
    <row r="46" spans="1:53" ht="22" customHeight="1">
      <c r="A46" s="1280" t="s">
        <v>192</v>
      </c>
      <c r="B46" s="1280" t="s">
        <v>193</v>
      </c>
      <c r="C46" s="1280" t="s">
        <v>194</v>
      </c>
      <c r="D46" s="1280" t="s">
        <v>195</v>
      </c>
      <c r="E46" s="3200"/>
      <c r="F46" s="3200"/>
      <c r="G46" s="3200"/>
      <c r="H46" s="3199">
        <v>1</v>
      </c>
      <c r="I46" s="1280"/>
      <c r="J46" s="1280"/>
      <c r="K46" s="1280"/>
      <c r="L46" s="1281"/>
      <c r="M46" s="1282"/>
      <c r="N46" s="1282"/>
      <c r="O46" s="1282"/>
      <c r="P46" s="288"/>
      <c r="Q46" s="286"/>
      <c r="R46" s="287"/>
      <c r="S46" s="1253" t="str">
        <f>INDEX(PT_DIFFERENTIATION_NUM_IST_TE,MATCH(D46,PT_DIFFERENTIATION_IST_TE_ID,0))</f>
        <v>1.1.1.1</v>
      </c>
      <c r="T46" s="245" t="s">
        <v>436</v>
      </c>
      <c r="U46" s="235"/>
      <c r="V46" s="3185"/>
      <c r="W46" s="3186"/>
      <c r="X46" s="3186"/>
      <c r="Y46" s="3186"/>
      <c r="Z46" s="3186"/>
      <c r="AA46" s="3186"/>
      <c r="AB46" s="3186"/>
      <c r="AC46" s="3187"/>
      <c r="AD46" s="3185" t="str">
        <f>INDEX(PT_DIFFERENTIATION_IST_TE,MATCH(D46,PT_DIFFERENTIATION_IST_TE_ID,0))</f>
        <v>без дифференциации</v>
      </c>
      <c r="AE46" s="3186"/>
      <c r="AF46" s="3186"/>
      <c r="AG46" s="3186"/>
      <c r="AH46" s="3186"/>
      <c r="AI46" s="3186"/>
      <c r="AJ46" s="3186"/>
      <c r="AK46" s="3186"/>
      <c r="AL46" s="3185"/>
      <c r="AM46" s="3186"/>
      <c r="AN46" s="3186"/>
      <c r="AO46" s="3186"/>
      <c r="AP46" s="3186"/>
      <c r="AQ46" s="3186"/>
      <c r="AR46" s="3186"/>
      <c r="AS46" s="3187"/>
      <c r="AT46" s="3187"/>
      <c r="AU46" s="1175" t="s">
        <v>437</v>
      </c>
      <c r="AW46" s="434"/>
      <c r="AX46" s="434" t="str">
        <f t="shared" si="1"/>
        <v xml:space="preserve">Источник тепловой энергии  </v>
      </c>
      <c r="AY46" s="434"/>
      <c r="AZ46" s="434"/>
      <c r="BA46" s="1072">
        <v>21</v>
      </c>
    </row>
    <row r="47" spans="1:53" s="2017" customFormat="1" ht="0" hidden="1" customHeight="1">
      <c r="A47" s="1260" t="s">
        <v>192</v>
      </c>
      <c r="B47" s="1260" t="s">
        <v>193</v>
      </c>
      <c r="C47" s="1260" t="s">
        <v>194</v>
      </c>
      <c r="D47" s="1260" t="s">
        <v>195</v>
      </c>
      <c r="E47" s="3200"/>
      <c r="F47" s="3200"/>
      <c r="G47" s="3200"/>
      <c r="H47" s="3200"/>
      <c r="I47" s="3197" t="str">
        <f>S46&amp;".1"</f>
        <v>1.1.1.1.1</v>
      </c>
      <c r="J47" s="1260"/>
      <c r="K47" s="1260"/>
      <c r="L47" s="1263" t="s">
        <v>438</v>
      </c>
      <c r="M47" s="444"/>
      <c r="N47" s="444"/>
      <c r="O47" s="444"/>
      <c r="P47" s="3198">
        <v>1</v>
      </c>
      <c r="Q47" s="1248"/>
      <c r="R47" s="290"/>
      <c r="S47" s="963"/>
      <c r="T47" s="1300"/>
      <c r="U47" s="1301"/>
      <c r="V47" s="3228"/>
      <c r="W47" s="3229"/>
      <c r="X47" s="3229"/>
      <c r="Y47" s="3229"/>
      <c r="Z47" s="3229"/>
      <c r="AA47" s="3229"/>
      <c r="AB47" s="3229"/>
      <c r="AC47" s="3230"/>
      <c r="AD47" s="3228"/>
      <c r="AE47" s="3229"/>
      <c r="AF47" s="3229"/>
      <c r="AG47" s="3229"/>
      <c r="AH47" s="3229"/>
      <c r="AI47" s="3229"/>
      <c r="AJ47" s="3229"/>
      <c r="AK47" s="3229"/>
      <c r="AL47" s="3228"/>
      <c r="AM47" s="3229"/>
      <c r="AN47" s="3229"/>
      <c r="AO47" s="3229"/>
      <c r="AP47" s="3229"/>
      <c r="AQ47" s="3229"/>
      <c r="AR47" s="3229"/>
      <c r="AS47" s="3230"/>
      <c r="AT47" s="3230"/>
      <c r="AU47" s="1302"/>
      <c r="AW47" s="434"/>
      <c r="AX47" s="434" t="str">
        <f t="shared" si="1"/>
        <v/>
      </c>
      <c r="AY47" s="434"/>
      <c r="AZ47" s="434"/>
      <c r="BA47" s="445">
        <v>0</v>
      </c>
    </row>
    <row r="48" spans="1:53" ht="22" customHeight="1">
      <c r="A48" s="1280" t="s">
        <v>192</v>
      </c>
      <c r="B48" s="1280" t="s">
        <v>193</v>
      </c>
      <c r="C48" s="1280" t="s">
        <v>194</v>
      </c>
      <c r="D48" s="1280" t="s">
        <v>195</v>
      </c>
      <c r="E48" s="3200"/>
      <c r="F48" s="3200"/>
      <c r="G48" s="3200"/>
      <c r="H48" s="3200"/>
      <c r="I48" s="3220"/>
      <c r="J48" s="3197" t="str">
        <f>S46&amp;".1"</f>
        <v>1.1.1.1.1</v>
      </c>
      <c r="K48" s="1280"/>
      <c r="L48" s="1281" t="s">
        <v>441</v>
      </c>
      <c r="P48" s="3198"/>
      <c r="Q48" s="3198">
        <v>1</v>
      </c>
      <c r="R48" s="291"/>
      <c r="S48" s="1253" t="str">
        <f>$J48</f>
        <v>1.1.1.1.1</v>
      </c>
      <c r="T48" s="221" t="s">
        <v>442</v>
      </c>
      <c r="U48" s="235"/>
      <c r="V48" s="3188"/>
      <c r="W48" s="3189"/>
      <c r="X48" s="3189"/>
      <c r="Y48" s="3189"/>
      <c r="Z48" s="3189"/>
      <c r="AA48" s="3189"/>
      <c r="AB48" s="3189"/>
      <c r="AC48" s="3190"/>
      <c r="AD48" s="3188" t="s">
        <v>481</v>
      </c>
      <c r="AE48" s="3189"/>
      <c r="AF48" s="3189"/>
      <c r="AG48" s="3189"/>
      <c r="AH48" s="3189"/>
      <c r="AI48" s="3189"/>
      <c r="AJ48" s="3189"/>
      <c r="AK48" s="3189"/>
      <c r="AL48" s="3188"/>
      <c r="AM48" s="3189"/>
      <c r="AN48" s="3189"/>
      <c r="AO48" s="3189"/>
      <c r="AP48" s="3189"/>
      <c r="AQ48" s="3189"/>
      <c r="AR48" s="3189"/>
      <c r="AS48" s="3190"/>
      <c r="AT48" s="3190"/>
      <c r="AU48" s="1175" t="s">
        <v>443</v>
      </c>
      <c r="AW48" s="434"/>
      <c r="AX48" s="434" t="str">
        <f t="shared" si="1"/>
        <v>Группа потребителей</v>
      </c>
      <c r="AY48" s="434"/>
      <c r="AZ48" s="434"/>
      <c r="BA48" s="1072">
        <v>21</v>
      </c>
    </row>
    <row r="49" spans="1:53" ht="22" customHeight="1">
      <c r="A49" s="1280" t="s">
        <v>192</v>
      </c>
      <c r="B49" s="1280" t="s">
        <v>193</v>
      </c>
      <c r="C49" s="1280" t="s">
        <v>194</v>
      </c>
      <c r="D49" s="1280" t="s">
        <v>195</v>
      </c>
      <c r="E49" s="3200"/>
      <c r="F49" s="3200"/>
      <c r="G49" s="3200"/>
      <c r="H49" s="3200"/>
      <c r="I49" s="3220"/>
      <c r="J49" s="3220"/>
      <c r="K49" s="3197" t="str">
        <f>J48&amp;".1"</f>
        <v>1.1.1.1.1.1</v>
      </c>
      <c r="L49" s="1281" t="s">
        <v>444</v>
      </c>
      <c r="P49" s="3198"/>
      <c r="Q49" s="3198"/>
      <c r="R49" s="291">
        <v>1</v>
      </c>
      <c r="S49" s="1253" t="str">
        <f>$K49</f>
        <v>1.1.1.1.1.1</v>
      </c>
      <c r="T49" s="1264" t="s">
        <v>482</v>
      </c>
      <c r="U49" s="235"/>
      <c r="V49" s="685"/>
      <c r="W49" s="260"/>
      <c r="X49" s="685"/>
      <c r="Y49" s="1174"/>
      <c r="Z49" s="3202"/>
      <c r="AA49" s="3048" t="s">
        <v>67</v>
      </c>
      <c r="AB49" s="3202"/>
      <c r="AC49" s="3048" t="s">
        <v>67</v>
      </c>
      <c r="AD49" s="685">
        <v>254.05</v>
      </c>
      <c r="AE49" s="260"/>
      <c r="AF49" s="685"/>
      <c r="AG49" s="1174"/>
      <c r="AH49" s="3202">
        <v>45658</v>
      </c>
      <c r="AI49" s="3048" t="s">
        <v>67</v>
      </c>
      <c r="AJ49" s="3221">
        <v>45838</v>
      </c>
      <c r="AK49" s="3048" t="s">
        <v>67</v>
      </c>
      <c r="AL49" s="2220">
        <v>266.5</v>
      </c>
      <c r="AM49" s="2221"/>
      <c r="AN49" s="2220"/>
      <c r="AO49" s="2222"/>
      <c r="AP49" s="3202">
        <v>45839</v>
      </c>
      <c r="AQ49" s="3048" t="s">
        <v>67</v>
      </c>
      <c r="AR49" s="3202">
        <v>46022</v>
      </c>
      <c r="AS49" s="3048" t="s">
        <v>67</v>
      </c>
      <c r="AT49" s="1265"/>
      <c r="AU49" s="3194" t="s">
        <v>484</v>
      </c>
      <c r="AV49" s="445" t="e">
        <f ca="1">STRCHECKDATE(V50:AT50)</f>
        <v>#NAME?</v>
      </c>
      <c r="AW49" s="434"/>
      <c r="AX49" s="434" t="str">
        <f t="shared" si="1"/>
        <v>вода</v>
      </c>
      <c r="AY49" s="434"/>
      <c r="AZ49" s="434"/>
      <c r="BA49" s="1072">
        <v>21</v>
      </c>
    </row>
    <row r="50" spans="1:53" ht="1" customHeight="1">
      <c r="A50" s="1280" t="s">
        <v>192</v>
      </c>
      <c r="B50" s="1280" t="s">
        <v>193</v>
      </c>
      <c r="C50" s="1280" t="s">
        <v>194</v>
      </c>
      <c r="D50" s="1280" t="s">
        <v>195</v>
      </c>
      <c r="E50" s="3200"/>
      <c r="F50" s="3200"/>
      <c r="G50" s="3200"/>
      <c r="H50" s="3200"/>
      <c r="I50" s="3220"/>
      <c r="J50" s="3220"/>
      <c r="K50" s="3197"/>
      <c r="L50" s="1281"/>
      <c r="P50" s="3198"/>
      <c r="Q50" s="3198"/>
      <c r="R50" s="291"/>
      <c r="S50" s="1259"/>
      <c r="T50" s="235"/>
      <c r="U50" s="235"/>
      <c r="V50" s="260"/>
      <c r="W50" s="260"/>
      <c r="X50" s="260"/>
      <c r="Y50" s="263" t="str">
        <f>Z49&amp;"-"&amp;AB49</f>
        <v>-</v>
      </c>
      <c r="Z50" s="3203"/>
      <c r="AA50" s="3048"/>
      <c r="AB50" s="3203"/>
      <c r="AC50" s="3048"/>
      <c r="AD50" s="260"/>
      <c r="AE50" s="260"/>
      <c r="AF50" s="260"/>
      <c r="AG50" s="263" t="str">
        <f>AH49&amp;"-"&amp;AJ49</f>
        <v>45658-45838</v>
      </c>
      <c r="AH50" s="3203"/>
      <c r="AI50" s="3048"/>
      <c r="AJ50" s="3222"/>
      <c r="AK50" s="3048"/>
      <c r="AL50" s="2221"/>
      <c r="AM50" s="2221"/>
      <c r="AN50" s="2221"/>
      <c r="AO50" s="2223" t="str">
        <f>AP49&amp;"-"&amp;AR49</f>
        <v>45839-46022</v>
      </c>
      <c r="AP50" s="3203"/>
      <c r="AQ50" s="3048"/>
      <c r="AR50" s="3203"/>
      <c r="AS50" s="3048"/>
      <c r="AT50" s="1266"/>
      <c r="AU50" s="3195"/>
      <c r="AW50" s="434"/>
      <c r="AX50" s="434" t="str">
        <f t="shared" si="1"/>
        <v/>
      </c>
      <c r="AY50" s="434"/>
      <c r="AZ50" s="434"/>
      <c r="BA50" s="1072">
        <v>1</v>
      </c>
    </row>
    <row r="51" spans="1:53" ht="11.5" customHeight="1">
      <c r="A51" s="1280" t="s">
        <v>192</v>
      </c>
      <c r="B51" s="1280" t="s">
        <v>193</v>
      </c>
      <c r="C51" s="1280" t="s">
        <v>194</v>
      </c>
      <c r="D51" s="1280" t="s">
        <v>195</v>
      </c>
      <c r="E51" s="3200"/>
      <c r="F51" s="3200"/>
      <c r="G51" s="3200"/>
      <c r="H51" s="3200"/>
      <c r="I51" s="3220"/>
      <c r="J51" s="3197"/>
      <c r="K51" s="1280"/>
      <c r="L51" s="1281"/>
      <c r="P51" s="3198"/>
      <c r="Q51" s="3198"/>
      <c r="R51" s="290"/>
      <c r="S51" s="1195"/>
      <c r="T51" s="222" t="s">
        <v>446</v>
      </c>
      <c r="U51" s="301"/>
      <c r="V51" s="301"/>
      <c r="W51" s="301"/>
      <c r="X51" s="301"/>
      <c r="Y51" s="301"/>
      <c r="Z51" s="301"/>
      <c r="AA51" s="301"/>
      <c r="AB51" s="301"/>
      <c r="AC51" s="301"/>
      <c r="AD51" s="301"/>
      <c r="AE51" s="301"/>
      <c r="AF51" s="301"/>
      <c r="AG51" s="301"/>
      <c r="AH51" s="301"/>
      <c r="AI51" s="301"/>
      <c r="AJ51" s="301"/>
      <c r="AK51" s="301"/>
      <c r="AL51" s="2531"/>
      <c r="AM51" s="2532"/>
      <c r="AN51" s="2533"/>
      <c r="AO51" s="2534"/>
      <c r="AP51" s="2535"/>
      <c r="AQ51" s="2536"/>
      <c r="AR51" s="2537"/>
      <c r="AS51" s="2538"/>
      <c r="AT51" s="259"/>
      <c r="AU51" s="3196"/>
      <c r="AW51" s="434"/>
      <c r="AX51" s="434" t="str">
        <f t="shared" si="1"/>
        <v>Добавить вид теплоносителя (параметры теплоносителя)</v>
      </c>
      <c r="AY51" s="434"/>
      <c r="AZ51" s="434"/>
      <c r="BA51" s="1072">
        <v>11</v>
      </c>
    </row>
    <row r="52" spans="1:53" ht="11.5" customHeight="1">
      <c r="A52" s="1280" t="s">
        <v>192</v>
      </c>
      <c r="B52" s="1280" t="s">
        <v>193</v>
      </c>
      <c r="C52" s="1280" t="s">
        <v>194</v>
      </c>
      <c r="D52" s="1280" t="s">
        <v>195</v>
      </c>
      <c r="E52" s="3200"/>
      <c r="F52" s="3200"/>
      <c r="G52" s="3200"/>
      <c r="H52" s="3200"/>
      <c r="I52" s="3197"/>
      <c r="J52" s="1280"/>
      <c r="K52" s="1280"/>
      <c r="L52" s="1281"/>
      <c r="P52" s="3198"/>
      <c r="Q52" s="1248"/>
      <c r="R52" s="290"/>
      <c r="S52" s="1195"/>
      <c r="T52" s="299" t="s">
        <v>447</v>
      </c>
      <c r="U52" s="301"/>
      <c r="V52" s="301"/>
      <c r="W52" s="301"/>
      <c r="X52" s="301"/>
      <c r="Y52" s="301"/>
      <c r="Z52" s="301"/>
      <c r="AA52" s="301"/>
      <c r="AB52" s="301"/>
      <c r="AC52" s="300"/>
      <c r="AD52" s="301"/>
      <c r="AE52" s="301"/>
      <c r="AF52" s="301"/>
      <c r="AG52" s="301"/>
      <c r="AH52" s="301"/>
      <c r="AI52" s="301"/>
      <c r="AJ52" s="301"/>
      <c r="AK52" s="300"/>
      <c r="AL52" s="2539"/>
      <c r="AM52" s="2540"/>
      <c r="AN52" s="2541"/>
      <c r="AO52" s="2542"/>
      <c r="AP52" s="2543"/>
      <c r="AQ52" s="2544"/>
      <c r="AR52" s="2545"/>
      <c r="AS52" s="2546"/>
      <c r="AT52" s="301"/>
      <c r="AU52" s="238"/>
      <c r="AW52" s="434"/>
      <c r="AX52" s="434" t="str">
        <f t="shared" si="1"/>
        <v>Добавить группу потребителей</v>
      </c>
      <c r="AY52" s="434"/>
      <c r="AZ52" s="434"/>
      <c r="BA52" s="1072">
        <v>11</v>
      </c>
    </row>
    <row r="53" spans="1:53" ht="0" hidden="1" customHeight="1">
      <c r="A53" s="1280" t="s">
        <v>192</v>
      </c>
      <c r="B53" s="1280" t="s">
        <v>193</v>
      </c>
      <c r="C53" s="1280" t="s">
        <v>194</v>
      </c>
      <c r="D53" s="1280" t="s">
        <v>195</v>
      </c>
      <c r="E53" s="3200"/>
      <c r="F53" s="3200"/>
      <c r="G53" s="3200"/>
      <c r="H53" s="3199"/>
      <c r="I53" s="1280"/>
      <c r="J53" s="1280"/>
      <c r="K53" s="1280"/>
      <c r="L53" s="1281"/>
      <c r="M53" s="1282"/>
      <c r="N53" s="1282"/>
      <c r="O53" s="471"/>
      <c r="P53" s="294"/>
      <c r="Q53" s="309"/>
      <c r="R53" s="289"/>
      <c r="S53" s="1303"/>
      <c r="T53" s="1304"/>
      <c r="U53" s="1305"/>
      <c r="V53" s="1305"/>
      <c r="W53" s="1305"/>
      <c r="X53" s="1305"/>
      <c r="Y53" s="1305"/>
      <c r="Z53" s="1305"/>
      <c r="AA53" s="1305"/>
      <c r="AB53" s="1305"/>
      <c r="AC53" s="1305"/>
      <c r="AD53" s="1305"/>
      <c r="AE53" s="1305"/>
      <c r="AF53" s="1305"/>
      <c r="AG53" s="1305"/>
      <c r="AH53" s="1305"/>
      <c r="AI53" s="1305"/>
      <c r="AJ53" s="1305"/>
      <c r="AK53" s="1305"/>
      <c r="AL53" s="2530"/>
      <c r="AM53" s="2530"/>
      <c r="AN53" s="2530"/>
      <c r="AO53" s="2530"/>
      <c r="AP53" s="2530"/>
      <c r="AQ53" s="2530"/>
      <c r="AR53" s="2530"/>
      <c r="AS53" s="2530"/>
      <c r="AT53" s="1305"/>
      <c r="AU53" s="1306"/>
      <c r="AW53" s="434"/>
      <c r="AX53" s="434" t="str">
        <f t="shared" si="1"/>
        <v/>
      </c>
      <c r="AY53" s="434"/>
      <c r="AZ53" s="434"/>
      <c r="BA53" s="1072">
        <v>0</v>
      </c>
    </row>
    <row r="54" spans="1:53" s="2017" customFormat="1" ht="1" customHeight="1">
      <c r="A54" s="1260" t="s">
        <v>192</v>
      </c>
      <c r="B54" s="1260" t="s">
        <v>193</v>
      </c>
      <c r="C54" s="1260" t="s">
        <v>194</v>
      </c>
      <c r="D54" s="1231"/>
      <c r="E54" s="3200"/>
      <c r="F54" s="3200"/>
      <c r="G54" s="3199"/>
      <c r="H54" s="1231"/>
      <c r="I54" s="1231"/>
      <c r="J54" s="1231"/>
      <c r="K54" s="1231"/>
      <c r="L54" s="1256"/>
      <c r="M54" s="1232"/>
      <c r="N54" s="1232"/>
      <c r="P54" s="1233"/>
      <c r="Q54" s="1234"/>
      <c r="R54" s="1233"/>
      <c r="S54" s="1239"/>
      <c r="T54" s="1242" t="s">
        <v>180</v>
      </c>
      <c r="U54" s="1241"/>
      <c r="V54" s="1241"/>
      <c r="W54" s="1241"/>
      <c r="X54" s="1241"/>
      <c r="Y54" s="1241"/>
      <c r="Z54" s="1241"/>
      <c r="AA54" s="1241"/>
      <c r="AB54" s="1241"/>
      <c r="AC54" s="1241"/>
      <c r="AD54" s="1241"/>
      <c r="AE54" s="1241"/>
      <c r="AF54" s="1241"/>
      <c r="AG54" s="1241"/>
      <c r="AH54" s="1241"/>
      <c r="AI54" s="1241"/>
      <c r="AJ54" s="1241"/>
      <c r="AK54" s="1241"/>
      <c r="AL54" s="2249"/>
      <c r="AM54" s="2249"/>
      <c r="AN54" s="2249"/>
      <c r="AO54" s="2249"/>
      <c r="AP54" s="2249"/>
      <c r="AQ54" s="2249"/>
      <c r="AR54" s="2249"/>
      <c r="AS54" s="2249"/>
      <c r="AT54" s="1241"/>
      <c r="AU54" s="1241"/>
      <c r="AW54" s="717"/>
      <c r="AX54" s="717" t="str">
        <f t="shared" si="1"/>
        <v>Добавить источник для дифференциации</v>
      </c>
      <c r="AY54" s="717"/>
      <c r="AZ54" s="717"/>
      <c r="BA54" s="452">
        <v>1</v>
      </c>
    </row>
    <row r="55" spans="1:53" s="2017" customFormat="1" ht="1" customHeight="1">
      <c r="A55" s="1260" t="s">
        <v>192</v>
      </c>
      <c r="B55" s="1260" t="s">
        <v>193</v>
      </c>
      <c r="C55" s="1231"/>
      <c r="D55" s="1231"/>
      <c r="E55" s="3200"/>
      <c r="F55" s="3199"/>
      <c r="G55" s="1231"/>
      <c r="H55" s="1231"/>
      <c r="I55" s="1231"/>
      <c r="J55" s="1231"/>
      <c r="K55" s="1231"/>
      <c r="L55" s="1256"/>
      <c r="M55" s="1238"/>
      <c r="N55" s="1238"/>
      <c r="P55" s="1233"/>
      <c r="Q55" s="1234"/>
      <c r="R55" s="1233"/>
      <c r="S55" s="1239"/>
      <c r="T55" s="1242" t="s">
        <v>181</v>
      </c>
      <c r="U55" s="1241"/>
      <c r="V55" s="1241"/>
      <c r="W55" s="1241"/>
      <c r="X55" s="1241"/>
      <c r="Y55" s="1241"/>
      <c r="Z55" s="1241"/>
      <c r="AA55" s="1241"/>
      <c r="AB55" s="1241"/>
      <c r="AC55" s="1241"/>
      <c r="AD55" s="1241"/>
      <c r="AE55" s="1241"/>
      <c r="AF55" s="1241"/>
      <c r="AG55" s="1241"/>
      <c r="AH55" s="1241"/>
      <c r="AI55" s="1241"/>
      <c r="AJ55" s="1241"/>
      <c r="AK55" s="1241"/>
      <c r="AL55" s="2249"/>
      <c r="AM55" s="2249"/>
      <c r="AN55" s="2249"/>
      <c r="AO55" s="2249"/>
      <c r="AP55" s="2249"/>
      <c r="AQ55" s="2249"/>
      <c r="AR55" s="2249"/>
      <c r="AS55" s="2249"/>
      <c r="AT55" s="1241"/>
      <c r="AU55" s="1241"/>
      <c r="AW55" s="717"/>
      <c r="AX55" s="717" t="str">
        <f t="shared" si="1"/>
        <v>Добавить централизованную систему для дифференциации</v>
      </c>
      <c r="AY55" s="717"/>
      <c r="AZ55" s="717"/>
      <c r="BA55" s="452">
        <v>1</v>
      </c>
    </row>
    <row r="56" spans="1:53" s="2547" customFormat="1" ht="21" customHeight="1">
      <c r="A56" s="2284"/>
      <c r="B56" s="2284" t="s">
        <v>196</v>
      </c>
      <c r="C56" s="2284"/>
      <c r="D56" s="2284"/>
      <c r="E56" s="3200"/>
      <c r="F56" s="3199" t="s">
        <v>104</v>
      </c>
      <c r="G56" s="2284"/>
      <c r="H56" s="2284"/>
      <c r="I56" s="2284"/>
      <c r="J56" s="2284"/>
      <c r="K56" s="2284"/>
      <c r="L56" s="2285"/>
      <c r="M56" s="2286"/>
      <c r="N56" s="2286"/>
      <c r="O56" s="2286"/>
      <c r="P56" s="2287"/>
      <c r="Q56" s="2288"/>
      <c r="R56" s="2289"/>
      <c r="S56" s="2290" t="str">
        <f>INDEX(PT_DIFFERENTIATION_NUM_TER,MATCH(B56,PT_DIFFERENTIATION_TER_ID,0))</f>
        <v>1.2</v>
      </c>
      <c r="T56" s="2291" t="s">
        <v>432</v>
      </c>
      <c r="U56" s="2292"/>
      <c r="V56" s="3185"/>
      <c r="W56" s="3186"/>
      <c r="X56" s="3186"/>
      <c r="Y56" s="3186"/>
      <c r="Z56" s="3186"/>
      <c r="AA56" s="3186"/>
      <c r="AB56" s="3186"/>
      <c r="AC56" s="3187"/>
      <c r="AD56" s="3185" t="str">
        <f>INDEX(PT_DIFFERENTIATION_TER,MATCH(B56,PT_DIFFERENTIATION_TER_ID,0))</f>
        <v>Территория 2</v>
      </c>
      <c r="AE56" s="3186"/>
      <c r="AF56" s="3186"/>
      <c r="AG56" s="3186"/>
      <c r="AH56" s="3186"/>
      <c r="AI56" s="3186"/>
      <c r="AJ56" s="3186"/>
      <c r="AK56" s="3186"/>
      <c r="AL56" s="3185"/>
      <c r="AM56" s="3186"/>
      <c r="AN56" s="3186"/>
      <c r="AO56" s="3186"/>
      <c r="AP56" s="3186"/>
      <c r="AQ56" s="3186"/>
      <c r="AR56" s="3186"/>
      <c r="AS56" s="3187"/>
      <c r="AT56" s="3187"/>
      <c r="AU56" s="2293" t="s">
        <v>433</v>
      </c>
      <c r="AV56" s="2256"/>
      <c r="AW56" s="2294"/>
      <c r="AX56" s="2294" t="str">
        <f t="shared" si="1"/>
        <v>Территория действия тарифа</v>
      </c>
      <c r="AY56" s="2294"/>
      <c r="AZ56" s="2294"/>
      <c r="BA56" s="2219">
        <v>0</v>
      </c>
    </row>
    <row r="57" spans="1:53" s="2548" customFormat="1" ht="23.25" customHeight="1">
      <c r="A57" s="2284"/>
      <c r="B57" s="2284"/>
      <c r="C57" s="2284" t="s">
        <v>197</v>
      </c>
      <c r="D57" s="2284"/>
      <c r="E57" s="3200"/>
      <c r="F57" s="3200">
        <v>1</v>
      </c>
      <c r="G57" s="3199">
        <v>1</v>
      </c>
      <c r="H57" s="2284"/>
      <c r="I57" s="2284"/>
      <c r="J57" s="2284"/>
      <c r="K57" s="2284"/>
      <c r="L57" s="2285"/>
      <c r="M57" s="2286"/>
      <c r="N57" s="2286"/>
      <c r="O57" s="2286"/>
      <c r="P57" s="2296"/>
      <c r="Q57" s="2288"/>
      <c r="R57" s="2289"/>
      <c r="S57" s="2290" t="str">
        <f>INDEX(PT_DIFFERENTIATION_NUM_CS,MATCH(C57,PT_DIFFERENTIATION_CS_ID,0))</f>
        <v>1.2.1</v>
      </c>
      <c r="T57" s="2297" t="s">
        <v>434</v>
      </c>
      <c r="U57" s="2292"/>
      <c r="V57" s="3185"/>
      <c r="W57" s="3186"/>
      <c r="X57" s="3186"/>
      <c r="Y57" s="3186"/>
      <c r="Z57" s="3186"/>
      <c r="AA57" s="3186"/>
      <c r="AB57" s="3186"/>
      <c r="AC57" s="3187"/>
      <c r="AD57" s="3185" t="str">
        <f>INDEX(PT_DIFFERENTIATION_CS,MATCH(C57,PT_DIFFERENTIATION_CS_ID,0))</f>
        <v>без дифференциации</v>
      </c>
      <c r="AE57" s="3186"/>
      <c r="AF57" s="3186"/>
      <c r="AG57" s="3186"/>
      <c r="AH57" s="3186"/>
      <c r="AI57" s="3186"/>
      <c r="AJ57" s="3186"/>
      <c r="AK57" s="3186"/>
      <c r="AL57" s="3185"/>
      <c r="AM57" s="3186"/>
      <c r="AN57" s="3186"/>
      <c r="AO57" s="3186"/>
      <c r="AP57" s="3186"/>
      <c r="AQ57" s="3186"/>
      <c r="AR57" s="3186"/>
      <c r="AS57" s="3187"/>
      <c r="AT57" s="3187"/>
      <c r="AU57" s="2293" t="s">
        <v>435</v>
      </c>
      <c r="AV57" s="2256"/>
      <c r="AW57" s="2294"/>
      <c r="AX57" s="2294" t="str">
        <f t="shared" si="1"/>
        <v xml:space="preserve">Наименование системы теплоснабжения </v>
      </c>
      <c r="AY57" s="2294"/>
      <c r="AZ57" s="2294"/>
      <c r="BA57" s="2219">
        <v>0</v>
      </c>
    </row>
    <row r="58" spans="1:53" s="2549" customFormat="1" ht="21" customHeight="1">
      <c r="A58" s="2284"/>
      <c r="B58" s="2284"/>
      <c r="C58" s="2284"/>
      <c r="D58" s="2284" t="s">
        <v>198</v>
      </c>
      <c r="E58" s="3200"/>
      <c r="F58" s="3200">
        <v>1</v>
      </c>
      <c r="G58" s="3200"/>
      <c r="H58" s="3199">
        <v>1</v>
      </c>
      <c r="I58" s="2284"/>
      <c r="J58" s="2284"/>
      <c r="K58" s="2284"/>
      <c r="L58" s="2285"/>
      <c r="M58" s="2286"/>
      <c r="N58" s="2286"/>
      <c r="O58" s="2286"/>
      <c r="P58" s="2296"/>
      <c r="Q58" s="2288"/>
      <c r="R58" s="2289"/>
      <c r="S58" s="2290" t="str">
        <f>INDEX(PT_DIFFERENTIATION_NUM_IST_TE,MATCH(D58,PT_DIFFERENTIATION_IST_TE_ID,0))</f>
        <v>1.2.1.1</v>
      </c>
      <c r="T58" s="2299" t="s">
        <v>436</v>
      </c>
      <c r="U58" s="2292"/>
      <c r="V58" s="3185"/>
      <c r="W58" s="3186"/>
      <c r="X58" s="3186"/>
      <c r="Y58" s="3186"/>
      <c r="Z58" s="3186"/>
      <c r="AA58" s="3186"/>
      <c r="AB58" s="3186"/>
      <c r="AC58" s="3187"/>
      <c r="AD58" s="3185" t="str">
        <f>INDEX(PT_DIFFERENTIATION_IST_TE,MATCH(D58,PT_DIFFERENTIATION_IST_TE_ID,0))</f>
        <v>без дифференциации</v>
      </c>
      <c r="AE58" s="3186"/>
      <c r="AF58" s="3186"/>
      <c r="AG58" s="3186"/>
      <c r="AH58" s="3186"/>
      <c r="AI58" s="3186"/>
      <c r="AJ58" s="3186"/>
      <c r="AK58" s="3186"/>
      <c r="AL58" s="3185"/>
      <c r="AM58" s="3186"/>
      <c r="AN58" s="3186"/>
      <c r="AO58" s="3186"/>
      <c r="AP58" s="3186"/>
      <c r="AQ58" s="3186"/>
      <c r="AR58" s="3186"/>
      <c r="AS58" s="3187"/>
      <c r="AT58" s="3187"/>
      <c r="AU58" s="2293" t="s">
        <v>437</v>
      </c>
      <c r="AV58" s="2256"/>
      <c r="AW58" s="2294"/>
      <c r="AX58" s="2294" t="str">
        <f t="shared" si="1"/>
        <v xml:space="preserve">Источник тепловой энергии  </v>
      </c>
      <c r="AY58" s="2294"/>
      <c r="AZ58" s="2294"/>
      <c r="BA58" s="2219">
        <v>0</v>
      </c>
    </row>
    <row r="59" spans="1:53" s="2550" customFormat="1" ht="14.25" customHeight="1">
      <c r="A59" s="2284"/>
      <c r="B59" s="2284"/>
      <c r="C59" s="2284"/>
      <c r="D59" s="2284"/>
      <c r="E59" s="3200"/>
      <c r="F59" s="3200">
        <v>1</v>
      </c>
      <c r="G59" s="3200"/>
      <c r="H59" s="3200"/>
      <c r="I59" s="3197" t="str">
        <f>S58&amp;".1"</f>
        <v>1.2.1.1.1</v>
      </c>
      <c r="J59" s="2284"/>
      <c r="K59" s="2284"/>
      <c r="L59" s="2285" t="s">
        <v>438</v>
      </c>
      <c r="M59" s="2250"/>
      <c r="N59" s="2301"/>
      <c r="O59" s="2301"/>
      <c r="P59" s="3198">
        <v>1</v>
      </c>
      <c r="Q59" s="2302"/>
      <c r="R59" s="2303"/>
      <c r="S59" s="2551"/>
      <c r="T59" s="2552"/>
      <c r="U59" s="2553"/>
      <c r="V59" s="3228"/>
      <c r="W59" s="3229"/>
      <c r="X59" s="3229"/>
      <c r="Y59" s="3229"/>
      <c r="Z59" s="3229"/>
      <c r="AA59" s="3229"/>
      <c r="AB59" s="3229"/>
      <c r="AC59" s="3230"/>
      <c r="AD59" s="3228"/>
      <c r="AE59" s="3229"/>
      <c r="AF59" s="3229"/>
      <c r="AG59" s="3229"/>
      <c r="AH59" s="3229"/>
      <c r="AI59" s="3229"/>
      <c r="AJ59" s="3229"/>
      <c r="AK59" s="3229"/>
      <c r="AL59" s="3228"/>
      <c r="AM59" s="3229"/>
      <c r="AN59" s="3229"/>
      <c r="AO59" s="3229"/>
      <c r="AP59" s="3229"/>
      <c r="AQ59" s="3229"/>
      <c r="AR59" s="3229"/>
      <c r="AS59" s="3230"/>
      <c r="AT59" s="3230"/>
      <c r="AU59" s="2554"/>
      <c r="AV59" s="2256"/>
      <c r="AW59" s="2294"/>
      <c r="AX59" s="2294" t="str">
        <f t="shared" si="1"/>
        <v/>
      </c>
      <c r="AY59" s="2294"/>
      <c r="AZ59" s="2294"/>
      <c r="BA59" s="2219">
        <v>0</v>
      </c>
    </row>
    <row r="60" spans="1:53" s="2555" customFormat="1" ht="21" customHeight="1">
      <c r="A60" s="2284"/>
      <c r="B60" s="2284"/>
      <c r="C60" s="2284"/>
      <c r="D60" s="2284"/>
      <c r="E60" s="3200"/>
      <c r="F60" s="3200">
        <v>1</v>
      </c>
      <c r="G60" s="3200"/>
      <c r="H60" s="3200"/>
      <c r="I60" s="3220"/>
      <c r="J60" s="3197" t="str">
        <f>I59&amp;".1"</f>
        <v>1.2.1.1.1.1</v>
      </c>
      <c r="K60" s="2284"/>
      <c r="L60" s="2285" t="s">
        <v>441</v>
      </c>
      <c r="M60" s="2250"/>
      <c r="N60" s="2250"/>
      <c r="O60" s="2301"/>
      <c r="P60" s="3198"/>
      <c r="Q60" s="3198">
        <v>1</v>
      </c>
      <c r="R60" s="2306"/>
      <c r="S60" s="2290" t="str">
        <f>$J60</f>
        <v>1.2.1.1.1.1</v>
      </c>
      <c r="T60" s="2307" t="s">
        <v>442</v>
      </c>
      <c r="U60" s="2292"/>
      <c r="V60" s="3188"/>
      <c r="W60" s="3189"/>
      <c r="X60" s="3189"/>
      <c r="Y60" s="3189"/>
      <c r="Z60" s="3189"/>
      <c r="AA60" s="3189"/>
      <c r="AB60" s="3189"/>
      <c r="AC60" s="3190"/>
      <c r="AD60" s="3188" t="s">
        <v>481</v>
      </c>
      <c r="AE60" s="3189"/>
      <c r="AF60" s="3189"/>
      <c r="AG60" s="3189"/>
      <c r="AH60" s="3189"/>
      <c r="AI60" s="3189"/>
      <c r="AJ60" s="3189"/>
      <c r="AK60" s="3189"/>
      <c r="AL60" s="3188"/>
      <c r="AM60" s="3189"/>
      <c r="AN60" s="3189"/>
      <c r="AO60" s="3189"/>
      <c r="AP60" s="3189"/>
      <c r="AQ60" s="3189"/>
      <c r="AR60" s="3189"/>
      <c r="AS60" s="3190"/>
      <c r="AT60" s="3190"/>
      <c r="AU60" s="2293" t="s">
        <v>443</v>
      </c>
      <c r="AV60" s="2256"/>
      <c r="AW60" s="2294"/>
      <c r="AX60" s="2294" t="str">
        <f t="shared" si="1"/>
        <v>Группа потребителей</v>
      </c>
      <c r="AY60" s="2294"/>
      <c r="AZ60" s="2294"/>
      <c r="BA60" s="2219">
        <v>0</v>
      </c>
    </row>
    <row r="61" spans="1:53" s="2556" customFormat="1" ht="21" customHeight="1">
      <c r="A61" s="2284"/>
      <c r="B61" s="2284"/>
      <c r="C61" s="2284"/>
      <c r="D61" s="2284"/>
      <c r="E61" s="3200"/>
      <c r="F61" s="3200">
        <v>1</v>
      </c>
      <c r="G61" s="3200"/>
      <c r="H61" s="3200"/>
      <c r="I61" s="3220"/>
      <c r="J61" s="3220"/>
      <c r="K61" s="3197" t="str">
        <f>J60&amp;".1"</f>
        <v>1.2.1.1.1.1.1</v>
      </c>
      <c r="L61" s="2285" t="s">
        <v>444</v>
      </c>
      <c r="M61" s="2250"/>
      <c r="N61" s="2250"/>
      <c r="O61" s="2250"/>
      <c r="P61" s="3198"/>
      <c r="Q61" s="3198"/>
      <c r="R61" s="2306">
        <v>1</v>
      </c>
      <c r="S61" s="2290" t="str">
        <f>$K61</f>
        <v>1.2.1.1.1.1.1</v>
      </c>
      <c r="T61" s="2309" t="s">
        <v>482</v>
      </c>
      <c r="U61" s="2292"/>
      <c r="V61" s="2220"/>
      <c r="W61" s="2221"/>
      <c r="X61" s="2220"/>
      <c r="Y61" s="2222"/>
      <c r="Z61" s="3202"/>
      <c r="AA61" s="3048" t="s">
        <v>67</v>
      </c>
      <c r="AB61" s="3202"/>
      <c r="AC61" s="3048" t="s">
        <v>67</v>
      </c>
      <c r="AD61" s="2220">
        <v>30.26</v>
      </c>
      <c r="AE61" s="2221"/>
      <c r="AF61" s="2220"/>
      <c r="AG61" s="2222"/>
      <c r="AH61" s="3202">
        <v>45658</v>
      </c>
      <c r="AI61" s="3048" t="s">
        <v>67</v>
      </c>
      <c r="AJ61" s="3202">
        <v>45838</v>
      </c>
      <c r="AK61" s="3048" t="s">
        <v>67</v>
      </c>
      <c r="AL61" s="2220">
        <v>31.74</v>
      </c>
      <c r="AM61" s="2221"/>
      <c r="AN61" s="2220"/>
      <c r="AO61" s="2222"/>
      <c r="AP61" s="3202">
        <v>45839</v>
      </c>
      <c r="AQ61" s="3048" t="s">
        <v>67</v>
      </c>
      <c r="AR61" s="3202">
        <v>46022</v>
      </c>
      <c r="AS61" s="3048" t="s">
        <v>67</v>
      </c>
      <c r="AT61" s="2221"/>
      <c r="AU61" s="3194" t="s">
        <v>445</v>
      </c>
      <c r="AV61" s="2256" t="e">
        <f ca="1">STRCHECKDATE(V62:AT62)</f>
        <v>#NAME?</v>
      </c>
      <c r="AW61" s="2294"/>
      <c r="AX61" s="2294" t="str">
        <f t="shared" si="1"/>
        <v>вода</v>
      </c>
      <c r="AY61" s="2294"/>
      <c r="AZ61" s="2294"/>
      <c r="BA61" s="2219">
        <v>0</v>
      </c>
    </row>
    <row r="62" spans="1:53" s="2557" customFormat="1" ht="0.75" customHeight="1">
      <c r="A62" s="2284"/>
      <c r="B62" s="2284"/>
      <c r="C62" s="2284"/>
      <c r="D62" s="2284"/>
      <c r="E62" s="3200"/>
      <c r="F62" s="3200">
        <v>1</v>
      </c>
      <c r="G62" s="3200"/>
      <c r="H62" s="3200"/>
      <c r="I62" s="3220"/>
      <c r="J62" s="3220"/>
      <c r="K62" s="3197"/>
      <c r="L62" s="2285"/>
      <c r="M62" s="2250"/>
      <c r="N62" s="2250"/>
      <c r="O62" s="2250"/>
      <c r="P62" s="3198"/>
      <c r="Q62" s="3198"/>
      <c r="R62" s="2306"/>
      <c r="S62" s="2311"/>
      <c r="T62" s="2292"/>
      <c r="U62" s="2292"/>
      <c r="V62" s="2221"/>
      <c r="W62" s="2221"/>
      <c r="X62" s="2221"/>
      <c r="Y62" s="2223" t="str">
        <f>Z61&amp;"-"&amp;AB61</f>
        <v>-</v>
      </c>
      <c r="Z62" s="3203"/>
      <c r="AA62" s="3048"/>
      <c r="AB62" s="3203"/>
      <c r="AC62" s="3048"/>
      <c r="AD62" s="2221"/>
      <c r="AE62" s="2221"/>
      <c r="AF62" s="2221"/>
      <c r="AG62" s="2223" t="str">
        <f>AH61&amp;"-"&amp;AJ61</f>
        <v>45658-45838</v>
      </c>
      <c r="AH62" s="3203"/>
      <c r="AI62" s="3048"/>
      <c r="AJ62" s="3203"/>
      <c r="AK62" s="3048"/>
      <c r="AL62" s="2221"/>
      <c r="AM62" s="2221"/>
      <c r="AN62" s="2221"/>
      <c r="AO62" s="2223" t="str">
        <f>AP61&amp;"-"&amp;AR61</f>
        <v>45839-46022</v>
      </c>
      <c r="AP62" s="3203"/>
      <c r="AQ62" s="3048"/>
      <c r="AR62" s="3203"/>
      <c r="AS62" s="3048"/>
      <c r="AT62" s="2221"/>
      <c r="AU62" s="3195"/>
      <c r="AV62" s="2256"/>
      <c r="AW62" s="2294"/>
      <c r="AX62" s="2294" t="str">
        <f t="shared" si="1"/>
        <v/>
      </c>
      <c r="AY62" s="2294"/>
      <c r="AZ62" s="2294"/>
      <c r="BA62" s="2219">
        <v>0</v>
      </c>
    </row>
    <row r="63" spans="1:53" s="2558" customFormat="1" ht="15" customHeight="1">
      <c r="A63" s="2284"/>
      <c r="B63" s="2284"/>
      <c r="C63" s="2284"/>
      <c r="D63" s="2284"/>
      <c r="E63" s="3200"/>
      <c r="F63" s="3200">
        <v>1</v>
      </c>
      <c r="G63" s="3200"/>
      <c r="H63" s="3200"/>
      <c r="I63" s="3220"/>
      <c r="J63" s="3197"/>
      <c r="K63" s="2284"/>
      <c r="L63" s="2285"/>
      <c r="M63" s="2250"/>
      <c r="N63" s="2250"/>
      <c r="O63" s="2301"/>
      <c r="P63" s="3198"/>
      <c r="Q63" s="3198"/>
      <c r="R63" s="2303"/>
      <c r="S63" s="2559"/>
      <c r="T63" s="2560" t="s">
        <v>446</v>
      </c>
      <c r="U63" s="2561"/>
      <c r="V63" s="2562"/>
      <c r="W63" s="2563"/>
      <c r="X63" s="2564"/>
      <c r="Y63" s="2565"/>
      <c r="Z63" s="2566"/>
      <c r="AA63" s="2567"/>
      <c r="AB63" s="2568"/>
      <c r="AC63" s="2569"/>
      <c r="AD63" s="2570"/>
      <c r="AE63" s="2571"/>
      <c r="AF63" s="2572"/>
      <c r="AG63" s="2573"/>
      <c r="AH63" s="2574"/>
      <c r="AI63" s="2575"/>
      <c r="AJ63" s="2576"/>
      <c r="AK63" s="2577"/>
      <c r="AL63" s="2578"/>
      <c r="AM63" s="2579"/>
      <c r="AN63" s="2580"/>
      <c r="AO63" s="2581"/>
      <c r="AP63" s="2582"/>
      <c r="AQ63" s="2583"/>
      <c r="AR63" s="2584"/>
      <c r="AS63" s="2585"/>
      <c r="AT63" s="2586"/>
      <c r="AU63" s="3196"/>
      <c r="AV63" s="2256"/>
      <c r="AW63" s="2294"/>
      <c r="AX63" s="2294" t="str">
        <f t="shared" si="1"/>
        <v>Добавить вид теплоносителя (параметры теплоносителя)</v>
      </c>
      <c r="AY63" s="2294"/>
      <c r="AZ63" s="2294"/>
      <c r="BA63" s="2219">
        <v>0</v>
      </c>
    </row>
    <row r="64" spans="1:53" s="2587" customFormat="1" ht="15" customHeight="1">
      <c r="A64" s="2284"/>
      <c r="B64" s="2284"/>
      <c r="C64" s="2284"/>
      <c r="D64" s="2284"/>
      <c r="E64" s="3200"/>
      <c r="F64" s="3200">
        <v>1</v>
      </c>
      <c r="G64" s="3200"/>
      <c r="H64" s="3200"/>
      <c r="I64" s="3197"/>
      <c r="J64" s="2284"/>
      <c r="K64" s="2284"/>
      <c r="L64" s="2285"/>
      <c r="M64" s="2250"/>
      <c r="N64" s="2301"/>
      <c r="O64" s="2301"/>
      <c r="P64" s="3198"/>
      <c r="Q64" s="2302"/>
      <c r="R64" s="2303"/>
      <c r="S64" s="2588"/>
      <c r="T64" s="2589" t="s">
        <v>447</v>
      </c>
      <c r="U64" s="2590"/>
      <c r="V64" s="2591"/>
      <c r="W64" s="2592"/>
      <c r="X64" s="2593"/>
      <c r="Y64" s="2594"/>
      <c r="Z64" s="2595"/>
      <c r="AA64" s="2596"/>
      <c r="AB64" s="2597"/>
      <c r="AC64" s="2598"/>
      <c r="AD64" s="2599"/>
      <c r="AE64" s="2600"/>
      <c r="AF64" s="2601"/>
      <c r="AG64" s="2602"/>
      <c r="AH64" s="2603"/>
      <c r="AI64" s="2604"/>
      <c r="AJ64" s="2605"/>
      <c r="AK64" s="2606"/>
      <c r="AL64" s="2607"/>
      <c r="AM64" s="2608"/>
      <c r="AN64" s="2609"/>
      <c r="AO64" s="2610"/>
      <c r="AP64" s="2611"/>
      <c r="AQ64" s="2612"/>
      <c r="AR64" s="2613"/>
      <c r="AS64" s="2614"/>
      <c r="AT64" s="2615"/>
      <c r="AU64" s="2616"/>
      <c r="AV64" s="2256"/>
      <c r="AW64" s="2294"/>
      <c r="AX64" s="2294" t="str">
        <f t="shared" si="1"/>
        <v>Добавить группу потребителей</v>
      </c>
      <c r="AY64" s="2294"/>
      <c r="AZ64" s="2294"/>
      <c r="BA64" s="2219">
        <v>0</v>
      </c>
    </row>
    <row r="65" spans="1:53" s="2617" customFormat="1" ht="14.25" customHeight="1">
      <c r="A65" s="2284"/>
      <c r="B65" s="2284"/>
      <c r="C65" s="2284"/>
      <c r="D65" s="2284"/>
      <c r="E65" s="3200"/>
      <c r="F65" s="3200">
        <v>1</v>
      </c>
      <c r="G65" s="3200"/>
      <c r="H65" s="3199"/>
      <c r="I65" s="2284"/>
      <c r="J65" s="2284"/>
      <c r="K65" s="2284"/>
      <c r="L65" s="2285"/>
      <c r="M65" s="2286"/>
      <c r="N65" s="2286"/>
      <c r="O65" s="2250"/>
      <c r="P65" s="2372"/>
      <c r="Q65" s="2373"/>
      <c r="R65" s="2374"/>
      <c r="S65" s="2618"/>
      <c r="T65" s="2619"/>
      <c r="U65" s="2530"/>
      <c r="V65" s="2530"/>
      <c r="W65" s="2530"/>
      <c r="X65" s="2530"/>
      <c r="Y65" s="2530"/>
      <c r="Z65" s="2530"/>
      <c r="AA65" s="2530"/>
      <c r="AB65" s="2530"/>
      <c r="AC65" s="2530"/>
      <c r="AD65" s="2530"/>
      <c r="AE65" s="2530"/>
      <c r="AF65" s="2530"/>
      <c r="AG65" s="2530"/>
      <c r="AH65" s="2530"/>
      <c r="AI65" s="2530"/>
      <c r="AJ65" s="2530"/>
      <c r="AK65" s="2530"/>
      <c r="AL65" s="2530"/>
      <c r="AM65" s="2530"/>
      <c r="AN65" s="2530"/>
      <c r="AO65" s="2530"/>
      <c r="AP65" s="2530"/>
      <c r="AQ65" s="2530"/>
      <c r="AR65" s="2530"/>
      <c r="AS65" s="2530"/>
      <c r="AT65" s="2530"/>
      <c r="AU65" s="2620"/>
      <c r="AV65" s="2256"/>
      <c r="AW65" s="2294"/>
      <c r="AX65" s="2294" t="str">
        <f t="shared" si="1"/>
        <v/>
      </c>
      <c r="AY65" s="2294"/>
      <c r="AZ65" s="2294"/>
      <c r="BA65" s="2219">
        <v>0</v>
      </c>
    </row>
    <row r="66" spans="1:53" s="2621" customFormat="1" ht="0.75" customHeight="1">
      <c r="A66" s="2405"/>
      <c r="B66" s="2405"/>
      <c r="C66" s="2405"/>
      <c r="D66" s="2405"/>
      <c r="E66" s="3200"/>
      <c r="F66" s="3200">
        <v>1</v>
      </c>
      <c r="G66" s="3199"/>
      <c r="H66" s="2405"/>
      <c r="I66" s="2405"/>
      <c r="J66" s="2405"/>
      <c r="K66" s="2405"/>
      <c r="L66" s="2406"/>
      <c r="M66" s="2407"/>
      <c r="N66" s="2407"/>
      <c r="O66" s="2256"/>
      <c r="P66" s="2408"/>
      <c r="Q66" s="2409"/>
      <c r="R66" s="2408"/>
      <c r="S66" s="2410"/>
      <c r="T66" s="2411" t="s">
        <v>180</v>
      </c>
      <c r="U66" s="2248"/>
      <c r="V66" s="2248"/>
      <c r="W66" s="2248"/>
      <c r="X66" s="2248"/>
      <c r="Y66" s="2248"/>
      <c r="Z66" s="2248"/>
      <c r="AA66" s="2248"/>
      <c r="AB66" s="2248"/>
      <c r="AC66" s="2248"/>
      <c r="AD66" s="2248"/>
      <c r="AE66" s="2248"/>
      <c r="AF66" s="2248"/>
      <c r="AG66" s="2248"/>
      <c r="AH66" s="2248"/>
      <c r="AI66" s="2248"/>
      <c r="AJ66" s="2248"/>
      <c r="AK66" s="2248"/>
      <c r="AL66" s="2248"/>
      <c r="AM66" s="2248"/>
      <c r="AN66" s="2248"/>
      <c r="AO66" s="2248"/>
      <c r="AP66" s="2248"/>
      <c r="AQ66" s="2248"/>
      <c r="AR66" s="2248"/>
      <c r="AS66" s="2248"/>
      <c r="AT66" s="2248"/>
      <c r="AU66" s="2248"/>
      <c r="AV66" s="2256"/>
      <c r="AW66" s="2294"/>
      <c r="AX66" s="2294" t="str">
        <f t="shared" si="1"/>
        <v>Добавить источник для дифференциации</v>
      </c>
      <c r="AY66" s="2294"/>
      <c r="AZ66" s="2294"/>
      <c r="BA66" s="2256">
        <v>0</v>
      </c>
    </row>
    <row r="67" spans="1:53" s="2622" customFormat="1" ht="0.75" customHeight="1">
      <c r="A67" s="2405"/>
      <c r="B67" s="2405"/>
      <c r="C67" s="2405"/>
      <c r="D67" s="2405"/>
      <c r="E67" s="3200"/>
      <c r="F67" s="3199">
        <v>1</v>
      </c>
      <c r="G67" s="2405"/>
      <c r="H67" s="2405"/>
      <c r="I67" s="2405"/>
      <c r="J67" s="2405"/>
      <c r="K67" s="2405"/>
      <c r="L67" s="2406"/>
      <c r="M67" s="2413"/>
      <c r="N67" s="2413"/>
      <c r="O67" s="2256"/>
      <c r="P67" s="2408"/>
      <c r="Q67" s="2409"/>
      <c r="R67" s="2408"/>
      <c r="S67" s="2414"/>
      <c r="T67" s="2415" t="s">
        <v>181</v>
      </c>
      <c r="U67" s="2249"/>
      <c r="V67" s="2249"/>
      <c r="W67" s="2249"/>
      <c r="X67" s="2249"/>
      <c r="Y67" s="2249"/>
      <c r="Z67" s="2249"/>
      <c r="AA67" s="2249"/>
      <c r="AB67" s="2249"/>
      <c r="AC67" s="2249"/>
      <c r="AD67" s="2249"/>
      <c r="AE67" s="2249"/>
      <c r="AF67" s="2249"/>
      <c r="AG67" s="2249"/>
      <c r="AH67" s="2249"/>
      <c r="AI67" s="2249"/>
      <c r="AJ67" s="2249"/>
      <c r="AK67" s="2249"/>
      <c r="AL67" s="2249"/>
      <c r="AM67" s="2249"/>
      <c r="AN67" s="2249"/>
      <c r="AO67" s="2249"/>
      <c r="AP67" s="2249"/>
      <c r="AQ67" s="2249"/>
      <c r="AR67" s="2249"/>
      <c r="AS67" s="2249"/>
      <c r="AT67" s="2249"/>
      <c r="AU67" s="2249"/>
      <c r="AV67" s="2256"/>
      <c r="AW67" s="2294"/>
      <c r="AX67" s="2294" t="str">
        <f t="shared" si="1"/>
        <v>Добавить централизованную систему для дифференциации</v>
      </c>
      <c r="AY67" s="2294"/>
      <c r="AZ67" s="2294"/>
      <c r="BA67" s="2256">
        <v>0</v>
      </c>
    </row>
    <row r="68" spans="1:53" s="2623" customFormat="1" ht="21" customHeight="1">
      <c r="A68" s="2284"/>
      <c r="B68" s="2284" t="s">
        <v>199</v>
      </c>
      <c r="C68" s="2284"/>
      <c r="D68" s="2284"/>
      <c r="E68" s="3200"/>
      <c r="F68" s="3199" t="s">
        <v>91</v>
      </c>
      <c r="G68" s="2284"/>
      <c r="H68" s="2284"/>
      <c r="I68" s="2284"/>
      <c r="J68" s="2284"/>
      <c r="K68" s="2284"/>
      <c r="L68" s="2285"/>
      <c r="M68" s="2286"/>
      <c r="N68" s="2286"/>
      <c r="O68" s="2286"/>
      <c r="P68" s="2287"/>
      <c r="Q68" s="2288"/>
      <c r="R68" s="2289"/>
      <c r="S68" s="2290" t="str">
        <f>INDEX(PT_DIFFERENTIATION_NUM_TER,MATCH(B68,PT_DIFFERENTIATION_TER_ID,0))</f>
        <v>1.3</v>
      </c>
      <c r="T68" s="2291" t="s">
        <v>432</v>
      </c>
      <c r="U68" s="2292"/>
      <c r="V68" s="3185"/>
      <c r="W68" s="3186"/>
      <c r="X68" s="3186"/>
      <c r="Y68" s="3186"/>
      <c r="Z68" s="3186"/>
      <c r="AA68" s="3186"/>
      <c r="AB68" s="3186"/>
      <c r="AC68" s="3187"/>
      <c r="AD68" s="3185" t="str">
        <f>INDEX(PT_DIFFERENTIATION_TER,MATCH(B68,PT_DIFFERENTIATION_TER_ID,0))</f>
        <v>Территория 3</v>
      </c>
      <c r="AE68" s="3186"/>
      <c r="AF68" s="3186"/>
      <c r="AG68" s="3186"/>
      <c r="AH68" s="3186"/>
      <c r="AI68" s="3186"/>
      <c r="AJ68" s="3186"/>
      <c r="AK68" s="3186"/>
      <c r="AL68" s="3185"/>
      <c r="AM68" s="3186"/>
      <c r="AN68" s="3186"/>
      <c r="AO68" s="3186"/>
      <c r="AP68" s="3186"/>
      <c r="AQ68" s="3186"/>
      <c r="AR68" s="3186"/>
      <c r="AS68" s="3187"/>
      <c r="AT68" s="3187"/>
      <c r="AU68" s="2293" t="s">
        <v>433</v>
      </c>
      <c r="AV68" s="2256"/>
      <c r="AW68" s="2294"/>
      <c r="AX68" s="2294" t="str">
        <f t="shared" si="1"/>
        <v>Территория действия тарифа</v>
      </c>
      <c r="AY68" s="2294"/>
      <c r="AZ68" s="2294"/>
      <c r="BA68" s="2219">
        <v>0</v>
      </c>
    </row>
    <row r="69" spans="1:53" s="2624" customFormat="1" ht="23.25" customHeight="1">
      <c r="A69" s="2284"/>
      <c r="B69" s="2284"/>
      <c r="C69" s="2284" t="s">
        <v>200</v>
      </c>
      <c r="D69" s="2284"/>
      <c r="E69" s="3200"/>
      <c r="F69" s="3200" t="s">
        <v>104</v>
      </c>
      <c r="G69" s="3199">
        <v>1</v>
      </c>
      <c r="H69" s="2284"/>
      <c r="I69" s="2284"/>
      <c r="J69" s="2284"/>
      <c r="K69" s="2284"/>
      <c r="L69" s="2285"/>
      <c r="M69" s="2286"/>
      <c r="N69" s="2286"/>
      <c r="O69" s="2286"/>
      <c r="P69" s="2296"/>
      <c r="Q69" s="2288"/>
      <c r="R69" s="2289"/>
      <c r="S69" s="2290" t="str">
        <f>INDEX(PT_DIFFERENTIATION_NUM_CS,MATCH(C69,PT_DIFFERENTIATION_CS_ID,0))</f>
        <v>1.3.1</v>
      </c>
      <c r="T69" s="2297" t="s">
        <v>434</v>
      </c>
      <c r="U69" s="2292"/>
      <c r="V69" s="3185"/>
      <c r="W69" s="3186"/>
      <c r="X69" s="3186"/>
      <c r="Y69" s="3186"/>
      <c r="Z69" s="3186"/>
      <c r="AA69" s="3186"/>
      <c r="AB69" s="3186"/>
      <c r="AC69" s="3187"/>
      <c r="AD69" s="3185" t="str">
        <f>INDEX(PT_DIFFERENTIATION_CS,MATCH(C69,PT_DIFFERENTIATION_CS_ID,0))</f>
        <v>без дифференциации</v>
      </c>
      <c r="AE69" s="3186"/>
      <c r="AF69" s="3186"/>
      <c r="AG69" s="3186"/>
      <c r="AH69" s="3186"/>
      <c r="AI69" s="3186"/>
      <c r="AJ69" s="3186"/>
      <c r="AK69" s="3186"/>
      <c r="AL69" s="3185"/>
      <c r="AM69" s="3186"/>
      <c r="AN69" s="3186"/>
      <c r="AO69" s="3186"/>
      <c r="AP69" s="3186"/>
      <c r="AQ69" s="3186"/>
      <c r="AR69" s="3186"/>
      <c r="AS69" s="3187"/>
      <c r="AT69" s="3187"/>
      <c r="AU69" s="2293" t="s">
        <v>435</v>
      </c>
      <c r="AV69" s="2256"/>
      <c r="AW69" s="2294"/>
      <c r="AX69" s="2294" t="str">
        <f t="shared" si="1"/>
        <v xml:space="preserve">Наименование системы теплоснабжения </v>
      </c>
      <c r="AY69" s="2294"/>
      <c r="AZ69" s="2294"/>
      <c r="BA69" s="2219">
        <v>0</v>
      </c>
    </row>
    <row r="70" spans="1:53" s="2625" customFormat="1" ht="21" customHeight="1">
      <c r="A70" s="2284"/>
      <c r="B70" s="2284"/>
      <c r="C70" s="2284"/>
      <c r="D70" s="2284" t="s">
        <v>201</v>
      </c>
      <c r="E70" s="3200"/>
      <c r="F70" s="3200" t="s">
        <v>104</v>
      </c>
      <c r="G70" s="3200"/>
      <c r="H70" s="3199">
        <v>1</v>
      </c>
      <c r="I70" s="2284"/>
      <c r="J70" s="2284"/>
      <c r="K70" s="2284"/>
      <c r="L70" s="2285"/>
      <c r="M70" s="2286"/>
      <c r="N70" s="2286"/>
      <c r="O70" s="2286"/>
      <c r="P70" s="2296"/>
      <c r="Q70" s="2288"/>
      <c r="R70" s="2289"/>
      <c r="S70" s="2290" t="str">
        <f>INDEX(PT_DIFFERENTIATION_NUM_IST_TE,MATCH(D70,PT_DIFFERENTIATION_IST_TE_ID,0))</f>
        <v>1.3.1.1</v>
      </c>
      <c r="T70" s="2299" t="s">
        <v>436</v>
      </c>
      <c r="U70" s="2292"/>
      <c r="V70" s="3185"/>
      <c r="W70" s="3186"/>
      <c r="X70" s="3186"/>
      <c r="Y70" s="3186"/>
      <c r="Z70" s="3186"/>
      <c r="AA70" s="3186"/>
      <c r="AB70" s="3186"/>
      <c r="AC70" s="3187"/>
      <c r="AD70" s="3185" t="str">
        <f>INDEX(PT_DIFFERENTIATION_IST_TE,MATCH(D70,PT_DIFFERENTIATION_IST_TE_ID,0))</f>
        <v>без дифференциации</v>
      </c>
      <c r="AE70" s="3186"/>
      <c r="AF70" s="3186"/>
      <c r="AG70" s="3186"/>
      <c r="AH70" s="3186"/>
      <c r="AI70" s="3186"/>
      <c r="AJ70" s="3186"/>
      <c r="AK70" s="3186"/>
      <c r="AL70" s="3185"/>
      <c r="AM70" s="3186"/>
      <c r="AN70" s="3186"/>
      <c r="AO70" s="3186"/>
      <c r="AP70" s="3186"/>
      <c r="AQ70" s="3186"/>
      <c r="AR70" s="3186"/>
      <c r="AS70" s="3187"/>
      <c r="AT70" s="3187"/>
      <c r="AU70" s="2293" t="s">
        <v>437</v>
      </c>
      <c r="AV70" s="2256"/>
      <c r="AW70" s="2294"/>
      <c r="AX70" s="2294" t="str">
        <f t="shared" si="1"/>
        <v xml:space="preserve">Источник тепловой энергии  </v>
      </c>
      <c r="AY70" s="2294"/>
      <c r="AZ70" s="2294"/>
      <c r="BA70" s="2219">
        <v>0</v>
      </c>
    </row>
    <row r="71" spans="1:53" s="2626" customFormat="1" ht="14.25" customHeight="1">
      <c r="A71" s="2284"/>
      <c r="B71" s="2284"/>
      <c r="C71" s="2284"/>
      <c r="D71" s="2284"/>
      <c r="E71" s="3200"/>
      <c r="F71" s="3200" t="s">
        <v>104</v>
      </c>
      <c r="G71" s="3200"/>
      <c r="H71" s="3200"/>
      <c r="I71" s="3197" t="str">
        <f>S70&amp;".1"</f>
        <v>1.3.1.1.1</v>
      </c>
      <c r="J71" s="2284"/>
      <c r="K71" s="2284"/>
      <c r="L71" s="2285" t="s">
        <v>438</v>
      </c>
      <c r="M71" s="2250"/>
      <c r="N71" s="2301"/>
      <c r="O71" s="2301"/>
      <c r="P71" s="3198">
        <v>1</v>
      </c>
      <c r="Q71" s="2302"/>
      <c r="R71" s="2303"/>
      <c r="S71" s="2551"/>
      <c r="T71" s="2552"/>
      <c r="U71" s="2553"/>
      <c r="V71" s="3228"/>
      <c r="W71" s="3229"/>
      <c r="X71" s="3229"/>
      <c r="Y71" s="3229"/>
      <c r="Z71" s="3229"/>
      <c r="AA71" s="3229"/>
      <c r="AB71" s="3229"/>
      <c r="AC71" s="3230"/>
      <c r="AD71" s="3228"/>
      <c r="AE71" s="3229"/>
      <c r="AF71" s="3229"/>
      <c r="AG71" s="3229"/>
      <c r="AH71" s="3229"/>
      <c r="AI71" s="3229"/>
      <c r="AJ71" s="3229"/>
      <c r="AK71" s="3229"/>
      <c r="AL71" s="3228"/>
      <c r="AM71" s="3229"/>
      <c r="AN71" s="3229"/>
      <c r="AO71" s="3229"/>
      <c r="AP71" s="3229"/>
      <c r="AQ71" s="3229"/>
      <c r="AR71" s="3229"/>
      <c r="AS71" s="3230"/>
      <c r="AT71" s="3230"/>
      <c r="AU71" s="2554"/>
      <c r="AV71" s="2256"/>
      <c r="AW71" s="2294"/>
      <c r="AX71" s="2294" t="str">
        <f t="shared" si="1"/>
        <v/>
      </c>
      <c r="AY71" s="2294"/>
      <c r="AZ71" s="2294"/>
      <c r="BA71" s="2219">
        <v>0</v>
      </c>
    </row>
    <row r="72" spans="1:53" s="2627" customFormat="1" ht="21" customHeight="1">
      <c r="A72" s="2284"/>
      <c r="B72" s="2284"/>
      <c r="C72" s="2284"/>
      <c r="D72" s="2284"/>
      <c r="E72" s="3200"/>
      <c r="F72" s="3200" t="s">
        <v>104</v>
      </c>
      <c r="G72" s="3200"/>
      <c r="H72" s="3200"/>
      <c r="I72" s="3220"/>
      <c r="J72" s="3197" t="str">
        <f>I71&amp;".1"</f>
        <v>1.3.1.1.1.1</v>
      </c>
      <c r="K72" s="2284"/>
      <c r="L72" s="2285" t="s">
        <v>441</v>
      </c>
      <c r="M72" s="2250"/>
      <c r="N72" s="2250"/>
      <c r="O72" s="2301"/>
      <c r="P72" s="3198"/>
      <c r="Q72" s="3198">
        <v>1</v>
      </c>
      <c r="R72" s="2306"/>
      <c r="S72" s="2290" t="str">
        <f>$J72</f>
        <v>1.3.1.1.1.1</v>
      </c>
      <c r="T72" s="2307" t="s">
        <v>442</v>
      </c>
      <c r="U72" s="2292"/>
      <c r="V72" s="3188"/>
      <c r="W72" s="3189"/>
      <c r="X72" s="3189"/>
      <c r="Y72" s="3189"/>
      <c r="Z72" s="3189"/>
      <c r="AA72" s="3189"/>
      <c r="AB72" s="3189"/>
      <c r="AC72" s="3190"/>
      <c r="AD72" s="3188" t="s">
        <v>481</v>
      </c>
      <c r="AE72" s="3189"/>
      <c r="AF72" s="3189"/>
      <c r="AG72" s="3189"/>
      <c r="AH72" s="3189"/>
      <c r="AI72" s="3189"/>
      <c r="AJ72" s="3189"/>
      <c r="AK72" s="3189"/>
      <c r="AL72" s="3188"/>
      <c r="AM72" s="3189"/>
      <c r="AN72" s="3189"/>
      <c r="AO72" s="3189"/>
      <c r="AP72" s="3189"/>
      <c r="AQ72" s="3189"/>
      <c r="AR72" s="3189"/>
      <c r="AS72" s="3190"/>
      <c r="AT72" s="3190"/>
      <c r="AU72" s="2293" t="s">
        <v>443</v>
      </c>
      <c r="AV72" s="2256"/>
      <c r="AW72" s="2294"/>
      <c r="AX72" s="2294" t="str">
        <f t="shared" si="1"/>
        <v>Группа потребителей</v>
      </c>
      <c r="AY72" s="2294"/>
      <c r="AZ72" s="2294"/>
      <c r="BA72" s="2219">
        <v>0</v>
      </c>
    </row>
    <row r="73" spans="1:53" s="2628" customFormat="1" ht="21" customHeight="1">
      <c r="A73" s="2284"/>
      <c r="B73" s="2284"/>
      <c r="C73" s="2284"/>
      <c r="D73" s="2284"/>
      <c r="E73" s="3200"/>
      <c r="F73" s="3200" t="s">
        <v>104</v>
      </c>
      <c r="G73" s="3200"/>
      <c r="H73" s="3200"/>
      <c r="I73" s="3220"/>
      <c r="J73" s="3220"/>
      <c r="K73" s="3197" t="str">
        <f>J72&amp;".1"</f>
        <v>1.3.1.1.1.1.1</v>
      </c>
      <c r="L73" s="2285" t="s">
        <v>444</v>
      </c>
      <c r="M73" s="2250"/>
      <c r="N73" s="2250"/>
      <c r="O73" s="2250"/>
      <c r="P73" s="3198"/>
      <c r="Q73" s="3198"/>
      <c r="R73" s="2306">
        <v>1</v>
      </c>
      <c r="S73" s="2290" t="str">
        <f>$K73</f>
        <v>1.3.1.1.1.1.1</v>
      </c>
      <c r="T73" s="2309" t="s">
        <v>482</v>
      </c>
      <c r="U73" s="2292"/>
      <c r="V73" s="2220"/>
      <c r="W73" s="2221"/>
      <c r="X73" s="2220"/>
      <c r="Y73" s="2222"/>
      <c r="Z73" s="3202"/>
      <c r="AA73" s="3048" t="s">
        <v>67</v>
      </c>
      <c r="AB73" s="3202"/>
      <c r="AC73" s="3048" t="s">
        <v>67</v>
      </c>
      <c r="AD73" s="2220">
        <v>69.31</v>
      </c>
      <c r="AE73" s="2221"/>
      <c r="AF73" s="2220"/>
      <c r="AG73" s="2222"/>
      <c r="AH73" s="3202">
        <v>45658</v>
      </c>
      <c r="AI73" s="3048" t="s">
        <v>67</v>
      </c>
      <c r="AJ73" s="3202">
        <v>45838</v>
      </c>
      <c r="AK73" s="3048" t="s">
        <v>67</v>
      </c>
      <c r="AL73" s="2220">
        <v>72.709999999999994</v>
      </c>
      <c r="AM73" s="2221"/>
      <c r="AN73" s="2220"/>
      <c r="AO73" s="2222"/>
      <c r="AP73" s="3202">
        <v>45839</v>
      </c>
      <c r="AQ73" s="3048" t="s">
        <v>67</v>
      </c>
      <c r="AR73" s="3202">
        <v>46022</v>
      </c>
      <c r="AS73" s="3048" t="s">
        <v>67</v>
      </c>
      <c r="AT73" s="2221"/>
      <c r="AU73" s="3194" t="s">
        <v>445</v>
      </c>
      <c r="AV73" s="2256" t="e">
        <f ca="1">STRCHECKDATE(V74:AT74)</f>
        <v>#NAME?</v>
      </c>
      <c r="AW73" s="2294"/>
      <c r="AX73" s="2294" t="str">
        <f t="shared" si="1"/>
        <v>вода</v>
      </c>
      <c r="AY73" s="2294"/>
      <c r="AZ73" s="2294"/>
      <c r="BA73" s="2219">
        <v>0</v>
      </c>
    </row>
    <row r="74" spans="1:53" s="2629" customFormat="1" ht="0.75" customHeight="1">
      <c r="A74" s="2284"/>
      <c r="B74" s="2284"/>
      <c r="C74" s="2284"/>
      <c r="D74" s="2284"/>
      <c r="E74" s="3200"/>
      <c r="F74" s="3200" t="s">
        <v>104</v>
      </c>
      <c r="G74" s="3200"/>
      <c r="H74" s="3200"/>
      <c r="I74" s="3220"/>
      <c r="J74" s="3220"/>
      <c r="K74" s="3197"/>
      <c r="L74" s="2285"/>
      <c r="M74" s="2250"/>
      <c r="N74" s="2250"/>
      <c r="O74" s="2250"/>
      <c r="P74" s="3198"/>
      <c r="Q74" s="3198"/>
      <c r="R74" s="2306"/>
      <c r="S74" s="2311"/>
      <c r="T74" s="2292"/>
      <c r="U74" s="2292"/>
      <c r="V74" s="2221"/>
      <c r="W74" s="2221"/>
      <c r="X74" s="2221"/>
      <c r="Y74" s="2223" t="str">
        <f>Z73&amp;"-"&amp;AB73</f>
        <v>-</v>
      </c>
      <c r="Z74" s="3203"/>
      <c r="AA74" s="3048"/>
      <c r="AB74" s="3203"/>
      <c r="AC74" s="3048"/>
      <c r="AD74" s="2221"/>
      <c r="AE74" s="2221"/>
      <c r="AF74" s="2221"/>
      <c r="AG74" s="2223" t="str">
        <f>AH73&amp;"-"&amp;AJ73</f>
        <v>45658-45838</v>
      </c>
      <c r="AH74" s="3203"/>
      <c r="AI74" s="3048"/>
      <c r="AJ74" s="3203"/>
      <c r="AK74" s="3048"/>
      <c r="AL74" s="2221"/>
      <c r="AM74" s="2221"/>
      <c r="AN74" s="2221"/>
      <c r="AO74" s="2223" t="str">
        <f>AP73&amp;"-"&amp;AR73</f>
        <v>45839-46022</v>
      </c>
      <c r="AP74" s="3203"/>
      <c r="AQ74" s="3048"/>
      <c r="AR74" s="3203"/>
      <c r="AS74" s="3048"/>
      <c r="AT74" s="2221"/>
      <c r="AU74" s="3195"/>
      <c r="AV74" s="2256"/>
      <c r="AW74" s="2294"/>
      <c r="AX74" s="2294" t="str">
        <f t="shared" si="1"/>
        <v/>
      </c>
      <c r="AY74" s="2294"/>
      <c r="AZ74" s="2294"/>
      <c r="BA74" s="2219">
        <v>0</v>
      </c>
    </row>
    <row r="75" spans="1:53" s="2630" customFormat="1" ht="15" customHeight="1">
      <c r="A75" s="2284"/>
      <c r="B75" s="2284"/>
      <c r="C75" s="2284"/>
      <c r="D75" s="2284"/>
      <c r="E75" s="3200"/>
      <c r="F75" s="3200" t="s">
        <v>104</v>
      </c>
      <c r="G75" s="3200"/>
      <c r="H75" s="3200"/>
      <c r="I75" s="3220"/>
      <c r="J75" s="3197"/>
      <c r="K75" s="2284"/>
      <c r="L75" s="2285"/>
      <c r="M75" s="2250"/>
      <c r="N75" s="2250"/>
      <c r="O75" s="2301"/>
      <c r="P75" s="3198"/>
      <c r="Q75" s="3198"/>
      <c r="R75" s="2303"/>
      <c r="S75" s="2631"/>
      <c r="T75" s="2632" t="s">
        <v>446</v>
      </c>
      <c r="U75" s="2633"/>
      <c r="V75" s="2634"/>
      <c r="W75" s="2635"/>
      <c r="X75" s="2636"/>
      <c r="Y75" s="2637"/>
      <c r="Z75" s="2638"/>
      <c r="AA75" s="2639"/>
      <c r="AB75" s="2640"/>
      <c r="AC75" s="2641"/>
      <c r="AD75" s="2642"/>
      <c r="AE75" s="2643"/>
      <c r="AF75" s="2644"/>
      <c r="AG75" s="2645"/>
      <c r="AH75" s="2646"/>
      <c r="AI75" s="2647"/>
      <c r="AJ75" s="2648"/>
      <c r="AK75" s="2649"/>
      <c r="AL75" s="2650"/>
      <c r="AM75" s="2651"/>
      <c r="AN75" s="2652"/>
      <c r="AO75" s="2653"/>
      <c r="AP75" s="2654"/>
      <c r="AQ75" s="2655"/>
      <c r="AR75" s="2656"/>
      <c r="AS75" s="2657"/>
      <c r="AT75" s="2658"/>
      <c r="AU75" s="3196"/>
      <c r="AV75" s="2256"/>
      <c r="AW75" s="2294"/>
      <c r="AX75" s="2294" t="str">
        <f t="shared" si="1"/>
        <v>Добавить вид теплоносителя (параметры теплоносителя)</v>
      </c>
      <c r="AY75" s="2294"/>
      <c r="AZ75" s="2294"/>
      <c r="BA75" s="2219">
        <v>0</v>
      </c>
    </row>
    <row r="76" spans="1:53" s="2659" customFormat="1" ht="15" customHeight="1">
      <c r="A76" s="2284"/>
      <c r="B76" s="2284"/>
      <c r="C76" s="2284"/>
      <c r="D76" s="2284"/>
      <c r="E76" s="3200"/>
      <c r="F76" s="3200" t="s">
        <v>104</v>
      </c>
      <c r="G76" s="3200"/>
      <c r="H76" s="3200"/>
      <c r="I76" s="3197"/>
      <c r="J76" s="2284"/>
      <c r="K76" s="2284"/>
      <c r="L76" s="2285"/>
      <c r="M76" s="2250"/>
      <c r="N76" s="2301"/>
      <c r="O76" s="2301"/>
      <c r="P76" s="3198"/>
      <c r="Q76" s="2302"/>
      <c r="R76" s="2303"/>
      <c r="S76" s="2660"/>
      <c r="T76" s="2661" t="s">
        <v>447</v>
      </c>
      <c r="U76" s="2662"/>
      <c r="V76" s="2663"/>
      <c r="W76" s="2664"/>
      <c r="X76" s="2665"/>
      <c r="Y76" s="2666"/>
      <c r="Z76" s="2667"/>
      <c r="AA76" s="2668"/>
      <c r="AB76" s="2669"/>
      <c r="AC76" s="2670"/>
      <c r="AD76" s="2671"/>
      <c r="AE76" s="2672"/>
      <c r="AF76" s="2673"/>
      <c r="AG76" s="2674"/>
      <c r="AH76" s="2675"/>
      <c r="AI76" s="2676"/>
      <c r="AJ76" s="2677"/>
      <c r="AK76" s="2678"/>
      <c r="AL76" s="2679"/>
      <c r="AM76" s="2680"/>
      <c r="AN76" s="2681"/>
      <c r="AO76" s="2682"/>
      <c r="AP76" s="2683"/>
      <c r="AQ76" s="2684"/>
      <c r="AR76" s="2685"/>
      <c r="AS76" s="2686"/>
      <c r="AT76" s="2687"/>
      <c r="AU76" s="2688"/>
      <c r="AV76" s="2256"/>
      <c r="AW76" s="2294"/>
      <c r="AX76" s="2294" t="str">
        <f t="shared" si="1"/>
        <v>Добавить группу потребителей</v>
      </c>
      <c r="AY76" s="2294"/>
      <c r="AZ76" s="2294"/>
      <c r="BA76" s="2219">
        <v>0</v>
      </c>
    </row>
    <row r="77" spans="1:53" s="2689" customFormat="1" ht="14.25" customHeight="1">
      <c r="A77" s="2284"/>
      <c r="B77" s="2284"/>
      <c r="C77" s="2284"/>
      <c r="D77" s="2284"/>
      <c r="E77" s="3200"/>
      <c r="F77" s="3200" t="s">
        <v>104</v>
      </c>
      <c r="G77" s="3200"/>
      <c r="H77" s="3199"/>
      <c r="I77" s="2284"/>
      <c r="J77" s="2284"/>
      <c r="K77" s="2284"/>
      <c r="L77" s="2285"/>
      <c r="M77" s="2286"/>
      <c r="N77" s="2286"/>
      <c r="O77" s="2250"/>
      <c r="P77" s="2372"/>
      <c r="Q77" s="2373"/>
      <c r="R77" s="2374"/>
      <c r="S77" s="2618"/>
      <c r="T77" s="2619"/>
      <c r="U77" s="2530"/>
      <c r="V77" s="2530"/>
      <c r="W77" s="2530"/>
      <c r="X77" s="2530"/>
      <c r="Y77" s="2530"/>
      <c r="Z77" s="2530"/>
      <c r="AA77" s="2530"/>
      <c r="AB77" s="2530"/>
      <c r="AC77" s="2530"/>
      <c r="AD77" s="2530"/>
      <c r="AE77" s="2530"/>
      <c r="AF77" s="2530"/>
      <c r="AG77" s="2530"/>
      <c r="AH77" s="2530"/>
      <c r="AI77" s="2530"/>
      <c r="AJ77" s="2530"/>
      <c r="AK77" s="2530"/>
      <c r="AL77" s="2530"/>
      <c r="AM77" s="2530"/>
      <c r="AN77" s="2530"/>
      <c r="AO77" s="2530"/>
      <c r="AP77" s="2530"/>
      <c r="AQ77" s="2530"/>
      <c r="AR77" s="2530"/>
      <c r="AS77" s="2530"/>
      <c r="AT77" s="2530"/>
      <c r="AU77" s="2620"/>
      <c r="AV77" s="2256"/>
      <c r="AW77" s="2294"/>
      <c r="AX77" s="2294" t="str">
        <f t="shared" si="1"/>
        <v/>
      </c>
      <c r="AY77" s="2294"/>
      <c r="AZ77" s="2294"/>
      <c r="BA77" s="2219">
        <v>0</v>
      </c>
    </row>
    <row r="78" spans="1:53" s="2690" customFormat="1" ht="0.75" customHeight="1">
      <c r="A78" s="2405"/>
      <c r="B78" s="2405"/>
      <c r="C78" s="2405"/>
      <c r="D78" s="2405"/>
      <c r="E78" s="3200"/>
      <c r="F78" s="3200" t="s">
        <v>104</v>
      </c>
      <c r="G78" s="3199"/>
      <c r="H78" s="2405"/>
      <c r="I78" s="2405"/>
      <c r="J78" s="2405"/>
      <c r="K78" s="2405"/>
      <c r="L78" s="2406"/>
      <c r="M78" s="2407"/>
      <c r="N78" s="2407"/>
      <c r="O78" s="2256"/>
      <c r="P78" s="2408"/>
      <c r="Q78" s="2409"/>
      <c r="R78" s="2408"/>
      <c r="S78" s="2410"/>
      <c r="T78" s="2411" t="s">
        <v>180</v>
      </c>
      <c r="U78" s="2248"/>
      <c r="V78" s="2248"/>
      <c r="W78" s="2248"/>
      <c r="X78" s="2248"/>
      <c r="Y78" s="2248"/>
      <c r="Z78" s="2248"/>
      <c r="AA78" s="2248"/>
      <c r="AB78" s="2248"/>
      <c r="AC78" s="2248"/>
      <c r="AD78" s="2248"/>
      <c r="AE78" s="2248"/>
      <c r="AF78" s="2248"/>
      <c r="AG78" s="2248"/>
      <c r="AH78" s="2248"/>
      <c r="AI78" s="2248"/>
      <c r="AJ78" s="2248"/>
      <c r="AK78" s="2248"/>
      <c r="AL78" s="2248"/>
      <c r="AM78" s="2248"/>
      <c r="AN78" s="2248"/>
      <c r="AO78" s="2248"/>
      <c r="AP78" s="2248"/>
      <c r="AQ78" s="2248"/>
      <c r="AR78" s="2248"/>
      <c r="AS78" s="2248"/>
      <c r="AT78" s="2248"/>
      <c r="AU78" s="2248"/>
      <c r="AV78" s="2256"/>
      <c r="AW78" s="2294"/>
      <c r="AX78" s="2294" t="str">
        <f t="shared" si="1"/>
        <v>Добавить источник для дифференциации</v>
      </c>
      <c r="AY78" s="2294"/>
      <c r="AZ78" s="2294"/>
      <c r="BA78" s="2256">
        <v>0</v>
      </c>
    </row>
    <row r="79" spans="1:53" s="2691" customFormat="1" ht="0.75" customHeight="1">
      <c r="A79" s="2405"/>
      <c r="B79" s="2405"/>
      <c r="C79" s="2405"/>
      <c r="D79" s="2405"/>
      <c r="E79" s="3200"/>
      <c r="F79" s="3199" t="s">
        <v>104</v>
      </c>
      <c r="G79" s="2405"/>
      <c r="H79" s="2405"/>
      <c r="I79" s="2405"/>
      <c r="J79" s="2405"/>
      <c r="K79" s="2405"/>
      <c r="L79" s="2406"/>
      <c r="M79" s="2413"/>
      <c r="N79" s="2413"/>
      <c r="O79" s="2256"/>
      <c r="P79" s="2408"/>
      <c r="Q79" s="2409"/>
      <c r="R79" s="2408"/>
      <c r="S79" s="2414"/>
      <c r="T79" s="2415" t="s">
        <v>181</v>
      </c>
      <c r="U79" s="2249"/>
      <c r="V79" s="2249"/>
      <c r="W79" s="2249"/>
      <c r="X79" s="2249"/>
      <c r="Y79" s="2249"/>
      <c r="Z79" s="2249"/>
      <c r="AA79" s="2249"/>
      <c r="AB79" s="2249"/>
      <c r="AC79" s="2249"/>
      <c r="AD79" s="2249"/>
      <c r="AE79" s="2249"/>
      <c r="AF79" s="2249"/>
      <c r="AG79" s="2249"/>
      <c r="AH79" s="2249"/>
      <c r="AI79" s="2249"/>
      <c r="AJ79" s="2249"/>
      <c r="AK79" s="2249"/>
      <c r="AL79" s="2249"/>
      <c r="AM79" s="2249"/>
      <c r="AN79" s="2249"/>
      <c r="AO79" s="2249"/>
      <c r="AP79" s="2249"/>
      <c r="AQ79" s="2249"/>
      <c r="AR79" s="2249"/>
      <c r="AS79" s="2249"/>
      <c r="AT79" s="2249"/>
      <c r="AU79" s="2249"/>
      <c r="AV79" s="2256"/>
      <c r="AW79" s="2294"/>
      <c r="AX79" s="2294" t="str">
        <f t="shared" si="1"/>
        <v>Добавить централизованную систему для дифференциации</v>
      </c>
      <c r="AY79" s="2294"/>
      <c r="AZ79" s="2294"/>
      <c r="BA79" s="2256">
        <v>0</v>
      </c>
    </row>
    <row r="80" spans="1:53" s="2017" customFormat="1" ht="1" customHeight="1">
      <c r="A80" s="1260" t="s">
        <v>192</v>
      </c>
      <c r="B80" s="1260"/>
      <c r="C80" s="1260"/>
      <c r="D80" s="1260"/>
      <c r="E80" s="3199"/>
      <c r="F80" s="1260"/>
      <c r="G80" s="1260"/>
      <c r="H80" s="1260"/>
      <c r="I80" s="1260"/>
      <c r="J80" s="1260"/>
      <c r="K80" s="1260"/>
      <c r="L80" s="1263"/>
      <c r="M80" s="1238"/>
      <c r="N80" s="1238"/>
      <c r="O80" s="452"/>
      <c r="P80" s="314"/>
      <c r="Q80" s="1261"/>
      <c r="R80" s="314"/>
      <c r="S80" s="1239"/>
      <c r="T80" s="1242" t="s">
        <v>188</v>
      </c>
      <c r="U80" s="1241"/>
      <c r="V80" s="1241"/>
      <c r="W80" s="1241"/>
      <c r="X80" s="1241"/>
      <c r="Y80" s="1241"/>
      <c r="Z80" s="1241"/>
      <c r="AA80" s="1241"/>
      <c r="AB80" s="1241"/>
      <c r="AC80" s="1241"/>
      <c r="AD80" s="1241"/>
      <c r="AE80" s="1241"/>
      <c r="AF80" s="1241"/>
      <c r="AG80" s="1241"/>
      <c r="AH80" s="1241"/>
      <c r="AI80" s="1241"/>
      <c r="AJ80" s="1241"/>
      <c r="AK80" s="1241"/>
      <c r="AL80" s="2249"/>
      <c r="AM80" s="2249"/>
      <c r="AN80" s="2249"/>
      <c r="AO80" s="2249"/>
      <c r="AP80" s="2249"/>
      <c r="AQ80" s="2249"/>
      <c r="AR80" s="2249"/>
      <c r="AS80" s="2249"/>
      <c r="AT80" s="1241"/>
      <c r="AU80" s="1241"/>
      <c r="AW80" s="434"/>
      <c r="AX80" s="434" t="str">
        <f t="shared" si="1"/>
        <v>Добавить территорию для дифференциации</v>
      </c>
      <c r="AY80" s="434"/>
      <c r="AZ80" s="434"/>
      <c r="BA80" s="445">
        <v>1</v>
      </c>
    </row>
    <row r="81" spans="1:53" s="2017" customFormat="1" ht="1" customHeight="1">
      <c r="A81" s="1231"/>
      <c r="B81" s="1231"/>
      <c r="C81" s="1231"/>
      <c r="D81" s="1231"/>
      <c r="E81" s="1260"/>
      <c r="F81" s="1231"/>
      <c r="G81" s="1231"/>
      <c r="H81" s="1231"/>
      <c r="I81" s="1231"/>
      <c r="J81" s="1231"/>
      <c r="K81" s="1231"/>
      <c r="L81" s="1256"/>
      <c r="M81" s="1238"/>
      <c r="N81" s="1238"/>
      <c r="P81" s="1233"/>
      <c r="Q81" s="1234"/>
      <c r="R81" s="1233"/>
      <c r="S81" s="1239"/>
      <c r="T81" s="1242" t="s">
        <v>189</v>
      </c>
      <c r="U81" s="1241"/>
      <c r="V81" s="1241"/>
      <c r="W81" s="1241"/>
      <c r="X81" s="1241"/>
      <c r="Y81" s="1241"/>
      <c r="Z81" s="1241"/>
      <c r="AA81" s="1241"/>
      <c r="AB81" s="1241"/>
      <c r="AC81" s="1241"/>
      <c r="AD81" s="1241"/>
      <c r="AE81" s="1241"/>
      <c r="AF81" s="1241"/>
      <c r="AG81" s="1241"/>
      <c r="AH81" s="1241"/>
      <c r="AI81" s="1241"/>
      <c r="AJ81" s="1241"/>
      <c r="AK81" s="1241"/>
      <c r="AL81" s="2249"/>
      <c r="AM81" s="2249"/>
      <c r="AN81" s="2249"/>
      <c r="AO81" s="2249"/>
      <c r="AP81" s="2249"/>
      <c r="AQ81" s="2249"/>
      <c r="AR81" s="2249"/>
      <c r="AS81" s="2249"/>
      <c r="AT81" s="1241"/>
      <c r="AU81" s="1241"/>
      <c r="AW81" s="717"/>
      <c r="AX81" s="717" t="str">
        <f t="shared" si="1"/>
        <v>Добавить наименование тарифа</v>
      </c>
      <c r="AY81" s="717"/>
      <c r="AZ81" s="717"/>
      <c r="BA81" s="452">
        <v>1</v>
      </c>
    </row>
    <row r="82" spans="1:53" ht="11.5" customHeight="1">
      <c r="M82" s="1077"/>
      <c r="N82" s="1077"/>
      <c r="O82" s="471"/>
      <c r="P82" s="1072"/>
      <c r="Q82" s="1072"/>
      <c r="R82" s="1072"/>
      <c r="S82" s="1072"/>
      <c r="AL82" s="2219"/>
      <c r="AM82" s="2219"/>
      <c r="AN82" s="2219"/>
      <c r="AO82" s="2219"/>
      <c r="AP82" s="2219"/>
      <c r="AQ82" s="2219"/>
      <c r="AR82" s="2219"/>
      <c r="AS82" s="2219"/>
      <c r="AV82" s="1072"/>
      <c r="AW82" s="1072"/>
      <c r="AX82" s="1072"/>
      <c r="AY82" s="1072"/>
      <c r="AZ82" s="1072"/>
      <c r="BA82" s="1072">
        <v>11</v>
      </c>
    </row>
    <row r="83" spans="1:53" ht="20" customHeight="1">
      <c r="O83" s="471"/>
      <c r="S83" s="1170"/>
      <c r="T83" s="3219"/>
      <c r="U83" s="3219"/>
      <c r="V83" s="3219"/>
      <c r="W83" s="3219"/>
      <c r="X83" s="3219"/>
      <c r="Y83" s="3219"/>
      <c r="Z83" s="3219"/>
      <c r="AA83" s="3219"/>
      <c r="AB83" s="3219"/>
      <c r="AC83" s="3219"/>
      <c r="AD83" s="3219"/>
      <c r="AE83" s="3219"/>
      <c r="AF83" s="3219"/>
      <c r="AG83" s="3219"/>
      <c r="AH83" s="3219"/>
      <c r="AI83" s="3219"/>
      <c r="AJ83" s="3219"/>
      <c r="AK83" s="3219"/>
      <c r="AL83" s="3219"/>
      <c r="AM83" s="3219"/>
      <c r="AN83" s="3219"/>
      <c r="AO83" s="3219"/>
      <c r="AP83" s="3219"/>
      <c r="AQ83" s="3219"/>
      <c r="AR83" s="3219"/>
      <c r="AS83" s="3219"/>
      <c r="AT83" s="3219"/>
      <c r="AU83" s="3219"/>
      <c r="BA83" s="1072">
        <v>19</v>
      </c>
    </row>
    <row r="84" spans="1:53" ht="29.25" customHeight="1">
      <c r="O84" s="471"/>
      <c r="T84" s="3219"/>
      <c r="U84" s="3219"/>
      <c r="V84" s="3219"/>
      <c r="W84" s="3219"/>
      <c r="X84" s="3219"/>
      <c r="Y84" s="3219"/>
      <c r="Z84" s="3219"/>
      <c r="AA84" s="3219"/>
      <c r="AB84" s="3219"/>
      <c r="AC84" s="3219"/>
      <c r="AD84" s="3219"/>
      <c r="AE84" s="3219"/>
      <c r="AF84" s="3219"/>
      <c r="AG84" s="3219"/>
      <c r="AH84" s="3219"/>
      <c r="AI84" s="3219"/>
      <c r="AJ84" s="3219"/>
      <c r="AK84" s="3219"/>
      <c r="AL84" s="3219"/>
      <c r="AM84" s="3219"/>
      <c r="AN84" s="3219"/>
      <c r="AO84" s="3219"/>
      <c r="AP84" s="3219"/>
      <c r="AQ84" s="3219"/>
      <c r="AR84" s="3219"/>
      <c r="AS84" s="3219"/>
      <c r="AT84" s="3219"/>
      <c r="AU84" s="3219"/>
      <c r="BA84" s="1072">
        <v>28</v>
      </c>
    </row>
    <row r="85" spans="1:53" ht="42" customHeight="1">
      <c r="O85" s="471"/>
      <c r="T85" s="3219"/>
      <c r="U85" s="3219"/>
      <c r="V85" s="3219"/>
      <c r="W85" s="3219"/>
      <c r="X85" s="3219"/>
      <c r="Y85" s="3219"/>
      <c r="Z85" s="3219"/>
      <c r="AA85" s="3219"/>
      <c r="AB85" s="3219"/>
      <c r="AC85" s="3219"/>
      <c r="AD85" s="3219"/>
      <c r="AE85" s="3219"/>
      <c r="AF85" s="3219"/>
      <c r="AG85" s="3219"/>
      <c r="AH85" s="3219"/>
      <c r="AI85" s="3219"/>
      <c r="AJ85" s="3219"/>
      <c r="AK85" s="3219"/>
      <c r="AL85" s="3219"/>
      <c r="AM85" s="3219"/>
      <c r="AN85" s="3219"/>
      <c r="AO85" s="3219"/>
      <c r="AP85" s="3219"/>
      <c r="AQ85" s="3219"/>
      <c r="AR85" s="3219"/>
      <c r="AS85" s="3219"/>
      <c r="AT85" s="3219"/>
      <c r="AU85" s="3219"/>
      <c r="BA85" s="1072">
        <v>40</v>
      </c>
    </row>
    <row r="86" spans="1:53" ht="14.65" customHeight="1">
      <c r="O86" s="471"/>
      <c r="AL86" s="2219"/>
      <c r="AM86" s="2219"/>
      <c r="AN86" s="2219"/>
      <c r="AO86" s="2219"/>
      <c r="AP86" s="2219"/>
      <c r="AQ86" s="2219"/>
      <c r="AR86" s="2219"/>
      <c r="AS86" s="2219"/>
      <c r="BA86" s="1072">
        <v>14</v>
      </c>
    </row>
    <row r="87" spans="1:53" ht="21" customHeight="1">
      <c r="O87" s="471"/>
      <c r="S87" s="1170"/>
      <c r="T87" s="3129"/>
      <c r="U87" s="3219"/>
      <c r="V87" s="3219"/>
      <c r="W87" s="3219"/>
      <c r="X87" s="3219"/>
      <c r="Y87" s="3219"/>
      <c r="Z87" s="3219"/>
      <c r="AA87" s="3219"/>
      <c r="AB87" s="3219"/>
      <c r="AC87" s="3219"/>
      <c r="AD87" s="3219"/>
      <c r="AE87" s="3219"/>
      <c r="AF87" s="3219"/>
      <c r="AG87" s="3219"/>
      <c r="AH87" s="3219"/>
      <c r="AI87" s="3219"/>
      <c r="AJ87" s="3219"/>
      <c r="AK87" s="3219"/>
      <c r="AL87" s="3219"/>
      <c r="AM87" s="3219"/>
      <c r="AN87" s="3219"/>
      <c r="AO87" s="3219"/>
      <c r="AP87" s="3219"/>
      <c r="AQ87" s="3219"/>
      <c r="AR87" s="3219"/>
      <c r="AS87" s="3219"/>
      <c r="AT87" s="3219"/>
      <c r="AU87" s="3219"/>
      <c r="BA87" s="1072">
        <v>20</v>
      </c>
    </row>
    <row r="88" spans="1:53" ht="29.25" customHeight="1">
      <c r="O88" s="471"/>
      <c r="T88" s="3219"/>
      <c r="U88" s="3219"/>
      <c r="V88" s="3219"/>
      <c r="W88" s="3219"/>
      <c r="X88" s="3219"/>
      <c r="Y88" s="3219"/>
      <c r="Z88" s="3219"/>
      <c r="AA88" s="3219"/>
      <c r="AB88" s="3219"/>
      <c r="AC88" s="3219"/>
      <c r="AD88" s="3219"/>
      <c r="AE88" s="3219"/>
      <c r="AF88" s="3219"/>
      <c r="AG88" s="3219"/>
      <c r="AH88" s="3219"/>
      <c r="AI88" s="3219"/>
      <c r="AJ88" s="3219"/>
      <c r="AK88" s="3219"/>
      <c r="AL88" s="3219"/>
      <c r="AM88" s="3219"/>
      <c r="AN88" s="3219"/>
      <c r="AO88" s="3219"/>
      <c r="AP88" s="3219"/>
      <c r="AQ88" s="3219"/>
      <c r="AR88" s="3219"/>
      <c r="AS88" s="3219"/>
      <c r="AT88" s="3219"/>
      <c r="AU88" s="3219"/>
      <c r="BA88" s="1072">
        <v>28</v>
      </c>
    </row>
    <row r="89" spans="1:53" ht="35.65" customHeight="1">
      <c r="T89" s="3219"/>
      <c r="U89" s="3219"/>
      <c r="V89" s="3219"/>
      <c r="W89" s="3219"/>
      <c r="X89" s="3219"/>
      <c r="Y89" s="3219"/>
      <c r="Z89" s="3219"/>
      <c r="AA89" s="3219"/>
      <c r="AB89" s="3219"/>
      <c r="AC89" s="3219"/>
      <c r="AD89" s="3219"/>
      <c r="AE89" s="3219"/>
      <c r="AF89" s="3219"/>
      <c r="AG89" s="3219"/>
      <c r="AH89" s="3219"/>
      <c r="AI89" s="3219"/>
      <c r="AJ89" s="3219"/>
      <c r="AK89" s="3219"/>
      <c r="AL89" s="3219"/>
      <c r="AM89" s="3219"/>
      <c r="AN89" s="3219"/>
      <c r="AO89" s="3219"/>
      <c r="AP89" s="3219"/>
      <c r="AQ89" s="3219"/>
      <c r="AR89" s="3219"/>
      <c r="AS89" s="3219"/>
      <c r="AT89" s="3219"/>
      <c r="AU89" s="3219"/>
      <c r="BA89" s="1072">
        <v>34</v>
      </c>
    </row>
    <row r="90" spans="1:53" ht="22.5" hidden="1" customHeight="1">
      <c r="A90" s="1077" t="s">
        <v>83</v>
      </c>
      <c r="B90" s="1077">
        <v>0</v>
      </c>
      <c r="C90" s="1077">
        <v>0</v>
      </c>
      <c r="D90" s="1077">
        <v>0</v>
      </c>
      <c r="E90" s="1077">
        <v>0</v>
      </c>
      <c r="F90" s="1077">
        <v>0</v>
      </c>
      <c r="G90" s="1077">
        <v>0</v>
      </c>
      <c r="H90" s="1077">
        <v>0</v>
      </c>
      <c r="I90" s="1077">
        <v>0</v>
      </c>
      <c r="J90" s="1077">
        <v>0</v>
      </c>
      <c r="K90" s="1077">
        <v>0</v>
      </c>
      <c r="L90" s="1246">
        <v>0</v>
      </c>
      <c r="M90" s="1279">
        <v>0</v>
      </c>
      <c r="N90" s="1279">
        <v>0</v>
      </c>
      <c r="O90" s="1279">
        <v>0</v>
      </c>
      <c r="P90" s="1245">
        <v>0</v>
      </c>
      <c r="Q90" s="279">
        <v>3</v>
      </c>
      <c r="R90" s="279">
        <v>3</v>
      </c>
      <c r="S90" s="515">
        <v>12</v>
      </c>
      <c r="T90" s="1072">
        <v>31</v>
      </c>
      <c r="U90" s="1072">
        <v>0</v>
      </c>
      <c r="V90" s="1072">
        <v>0</v>
      </c>
      <c r="W90" s="1072">
        <v>0</v>
      </c>
      <c r="X90" s="1072">
        <v>0</v>
      </c>
      <c r="Y90" s="1072">
        <v>0</v>
      </c>
      <c r="Z90" s="1072">
        <v>0</v>
      </c>
      <c r="AA90" s="1072">
        <v>0</v>
      </c>
      <c r="AB90" s="1072">
        <v>0</v>
      </c>
      <c r="AC90" s="1072">
        <v>0</v>
      </c>
      <c r="AD90" s="1072">
        <v>24</v>
      </c>
      <c r="AE90" s="1072">
        <v>0</v>
      </c>
      <c r="AF90" s="1072">
        <v>24</v>
      </c>
      <c r="AG90" s="1072">
        <v>24</v>
      </c>
      <c r="AH90" s="1072">
        <v>11</v>
      </c>
      <c r="AI90" s="1072">
        <v>3</v>
      </c>
      <c r="AJ90" s="1072">
        <v>11</v>
      </c>
      <c r="AK90" s="1072">
        <v>0</v>
      </c>
      <c r="AL90" s="2219">
        <v>0</v>
      </c>
      <c r="AM90" s="2219">
        <v>0</v>
      </c>
      <c r="AN90" s="2219">
        <v>0</v>
      </c>
      <c r="AO90" s="2219">
        <v>0</v>
      </c>
      <c r="AP90" s="2219">
        <v>0</v>
      </c>
      <c r="AQ90" s="2219">
        <v>0</v>
      </c>
      <c r="AR90" s="2219">
        <v>0</v>
      </c>
      <c r="AS90" s="2219">
        <v>0</v>
      </c>
      <c r="AT90" s="1072">
        <v>4</v>
      </c>
      <c r="AU90" s="1072">
        <v>115</v>
      </c>
      <c r="AV90" s="445">
        <v>10</v>
      </c>
      <c r="AW90" s="445">
        <v>10</v>
      </c>
      <c r="AX90" s="445">
        <v>10</v>
      </c>
      <c r="AY90" s="445">
        <v>10</v>
      </c>
      <c r="AZ90" s="445">
        <v>10</v>
      </c>
      <c r="BA90" s="1072">
        <v>23</v>
      </c>
    </row>
  </sheetData>
  <sheetProtection formatColumns="0" formatRows="0" insertRows="0" deleteColumns="0" deleteRows="0" sort="0" autoFilter="0"/>
  <mergeCells count="198">
    <mergeCell ref="T88:AU88"/>
    <mergeCell ref="T89:AU89"/>
    <mergeCell ref="S35:T35"/>
    <mergeCell ref="V35:AB35"/>
    <mergeCell ref="AD35:AJ35"/>
    <mergeCell ref="S34:T34"/>
    <mergeCell ref="V34:AB34"/>
    <mergeCell ref="AD34:AJ34"/>
    <mergeCell ref="V2:AC2"/>
    <mergeCell ref="AD2:AT2"/>
    <mergeCell ref="V3:AC3"/>
    <mergeCell ref="AD3:AT3"/>
    <mergeCell ref="V4:AC4"/>
    <mergeCell ref="AD4:AT4"/>
    <mergeCell ref="V5:AC5"/>
    <mergeCell ref="AD5:AT5"/>
    <mergeCell ref="V6:AC6"/>
    <mergeCell ref="AD6:AT6"/>
    <mergeCell ref="V7:AC7"/>
    <mergeCell ref="AD7:AT7"/>
    <mergeCell ref="T87:AU87"/>
    <mergeCell ref="T85:AU85"/>
    <mergeCell ref="AJ49:AJ50"/>
    <mergeCell ref="AK49:AK50"/>
    <mergeCell ref="AU49:AU51"/>
    <mergeCell ref="T83:AU83"/>
    <mergeCell ref="T84:AU84"/>
    <mergeCell ref="AA42:AB42"/>
    <mergeCell ref="AI42:AJ42"/>
    <mergeCell ref="E43:E80"/>
    <mergeCell ref="V43:AC43"/>
    <mergeCell ref="AD43:AT43"/>
    <mergeCell ref="F44:F55"/>
    <mergeCell ref="V44:AC44"/>
    <mergeCell ref="AD44:AT44"/>
    <mergeCell ref="G45:G54"/>
    <mergeCell ref="V45:AC45"/>
    <mergeCell ref="AD45:AT45"/>
    <mergeCell ref="H46:H53"/>
    <mergeCell ref="V46:AC46"/>
    <mergeCell ref="AD46:AT46"/>
    <mergeCell ref="P47:P52"/>
    <mergeCell ref="J48:J51"/>
    <mergeCell ref="Q48:Q51"/>
    <mergeCell ref="V48:AC48"/>
    <mergeCell ref="AD48:AT48"/>
    <mergeCell ref="K49:K50"/>
    <mergeCell ref="Z49:Z50"/>
    <mergeCell ref="AU38:AU41"/>
    <mergeCell ref="S39:S41"/>
    <mergeCell ref="T39:T41"/>
    <mergeCell ref="V39:AB39"/>
    <mergeCell ref="AC39:AC41"/>
    <mergeCell ref="AD39:AJ39"/>
    <mergeCell ref="AK39:AK41"/>
    <mergeCell ref="AT39:AT41"/>
    <mergeCell ref="V40:V41"/>
    <mergeCell ref="W40:W41"/>
    <mergeCell ref="X40:Y40"/>
    <mergeCell ref="Z40:AB40"/>
    <mergeCell ref="AD40:AD41"/>
    <mergeCell ref="AU8:AU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AP8:AP9"/>
    <mergeCell ref="AQ8:AQ9"/>
    <mergeCell ref="AR8:AR9"/>
    <mergeCell ref="AS8:AS9"/>
    <mergeCell ref="AL29:AR2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T38"/>
    <mergeCell ref="S26:AJ26"/>
    <mergeCell ref="S27:AJ27"/>
    <mergeCell ref="AC49:AC50"/>
    <mergeCell ref="AA49:AA50"/>
    <mergeCell ref="AB49:AB50"/>
    <mergeCell ref="AH49:AH50"/>
    <mergeCell ref="AI49:AI50"/>
    <mergeCell ref="V47:AC47"/>
    <mergeCell ref="AD47:AT47"/>
    <mergeCell ref="AD31:AJ31"/>
    <mergeCell ref="AD32:AJ32"/>
    <mergeCell ref="AE40:AE41"/>
    <mergeCell ref="AF40:AG40"/>
    <mergeCell ref="AH40:AJ40"/>
    <mergeCell ref="AI41:AJ41"/>
    <mergeCell ref="AD37:AK37"/>
    <mergeCell ref="AL35:AR35"/>
    <mergeCell ref="AL34:AR34"/>
    <mergeCell ref="AQ42:AR42"/>
    <mergeCell ref="V56:AC56"/>
    <mergeCell ref="AD56:AT56"/>
    <mergeCell ref="V57:AC57"/>
    <mergeCell ref="AD57:AT57"/>
    <mergeCell ref="V58:AC58"/>
    <mergeCell ref="AD58:AT58"/>
    <mergeCell ref="V59:AC59"/>
    <mergeCell ref="AD59:AT59"/>
    <mergeCell ref="V60:AC60"/>
    <mergeCell ref="AD60:AT60"/>
    <mergeCell ref="K73:K74"/>
    <mergeCell ref="AU61:AU63"/>
    <mergeCell ref="Z61:Z62"/>
    <mergeCell ref="AA61:AA62"/>
    <mergeCell ref="AH61:AH62"/>
    <mergeCell ref="AI61:AI62"/>
    <mergeCell ref="AJ61:AJ62"/>
    <mergeCell ref="AK61:AK62"/>
    <mergeCell ref="AB61:AB62"/>
    <mergeCell ref="AC61:AC62"/>
    <mergeCell ref="V69:AC69"/>
    <mergeCell ref="AD69:AT69"/>
    <mergeCell ref="V70:AC70"/>
    <mergeCell ref="AD70:AT70"/>
    <mergeCell ref="V71:AC71"/>
    <mergeCell ref="AD71:AT71"/>
    <mergeCell ref="V72:AC72"/>
    <mergeCell ref="AD72:AT72"/>
    <mergeCell ref="F56:F67"/>
    <mergeCell ref="G57:G66"/>
    <mergeCell ref="H58:H65"/>
    <mergeCell ref="I59:I64"/>
    <mergeCell ref="P59:P64"/>
    <mergeCell ref="J60:J63"/>
    <mergeCell ref="Q60:Q63"/>
    <mergeCell ref="K61:K62"/>
    <mergeCell ref="V68:AC68"/>
    <mergeCell ref="F68:F79"/>
    <mergeCell ref="G69:G78"/>
    <mergeCell ref="H70:H77"/>
    <mergeCell ref="I71:I76"/>
    <mergeCell ref="P71:P76"/>
    <mergeCell ref="J72:J75"/>
    <mergeCell ref="Q72:Q75"/>
    <mergeCell ref="AU73:AU75"/>
    <mergeCell ref="Z73:Z74"/>
    <mergeCell ref="AA73:AA74"/>
    <mergeCell ref="AH73:AH74"/>
    <mergeCell ref="AI73:AI74"/>
    <mergeCell ref="AJ73:AJ74"/>
    <mergeCell ref="AK73:AK74"/>
    <mergeCell ref="AB73:AB74"/>
    <mergeCell ref="AC73:AC74"/>
    <mergeCell ref="AL30:AR30"/>
    <mergeCell ref="AL31:AR31"/>
    <mergeCell ref="AL32:AR32"/>
    <mergeCell ref="AL37:AS37"/>
    <mergeCell ref="AL39:AR39"/>
    <mergeCell ref="AS39:AS41"/>
    <mergeCell ref="AL40:AL41"/>
    <mergeCell ref="AM40:AM41"/>
    <mergeCell ref="AN40:AO40"/>
    <mergeCell ref="AP40:AR40"/>
    <mergeCell ref="AQ41:AR41"/>
    <mergeCell ref="AP49:AP50"/>
    <mergeCell ref="AQ49:AQ50"/>
    <mergeCell ref="AR49:AR50"/>
    <mergeCell ref="AS49:AS50"/>
    <mergeCell ref="AP61:AP62"/>
    <mergeCell ref="AQ61:AQ62"/>
    <mergeCell ref="AR61:AR62"/>
    <mergeCell ref="AS61:AS62"/>
    <mergeCell ref="AP73:AP74"/>
    <mergeCell ref="AQ73:AQ74"/>
    <mergeCell ref="AR73:AR74"/>
    <mergeCell ref="AS73:AS74"/>
    <mergeCell ref="AD68:AT68"/>
  </mergeCells>
  <dataValidations count="8">
    <dataValidation allowBlank="1" promptTitle="checkPeriodRange" sqref="Y65610 Y131146 Y196682 Y262218 Y327754 Y393290 Y458826 Y524362 Y589898 Y655434 Y720970 Y786506 Y852042 Y917578 Y983114 Y9 AG65610 AG131146 AG196682 AG262218 AG327754 AG393290 AG458826 AG524362 AG589898 AG655434 AG720970 AG786506 AG852042 AG917578 AG983114 AG9 AG50 AG18 Y50 Y62 AG62 Y74 AG74 AO9 AO50 AO62 AO74" xr:uid="{00000000-0002-0000-0F00-000000000000}"/>
    <dataValidation allowBlank="1" showInputMessage="1" showErrorMessage="1" prompt="Для выбора выполните двойной щелчок левой клавиши мыши по соответствующей ячейке." sqref="AA65609 AA131145 AA196681 AA262217 AA327753 AA393289 AA458825 AA524361 AA589897 AA655433 AA720969 AA786505 AA852041 AA917577 AA983113 AC131145 AC458825 AC196681 AC262217 AC327753 AC393289 AC524361 AC589897 AC655433 AC720969 AC786505 AC852041 AC917577 AC983113 AC65609 AI65609 AI131145 AI196681 AI262217 AI327753 AI393289 AI458825 AI524361 AI589897 AI655433 AI720969 AI786505 AI852041 AI917577 AI983113 AK393289:AS393289 AK49 AQ49 AS49 AK524361:AS524361 AK8 AQ8 AS8 AK589897:AS589897 AK655433:AS655433 AK17 AK720969:AS720969 AK786505:AS786505 AK852041:AS852041 AK917577:AS917577 AK983113:AS983113 AK65609:AS65609 AK131145:AS131145 AK458825:AS458825 AI49 AK196681:AS196681 AI8 AC8 AA8 AI17 AK262217:AS262217 AA49 AC49 AK327753:AS327753 AA61 AC61 AI61 AK61 AQ61 AS61 AA73 AC73 AI73 AK73 AQ73 AS73" xr:uid="{00000000-0002-0000-0F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609 Z131145 Z196681 Z262217 Z327753 Z393289 Z458825 Z524361 Z589897 Z655433 Z720969 Z786505 Z852041 Z917577 Z983113 AB65609 AB131145 AB196681 AB262217 AB327753 AB393289 AB458825 AB524361 AB589897 AB655433 AB720969 AB786505 AB852041 AB917577 AB983113 Z8 AH65609 AH131145 AH196681 AH262217 AH327753 AH393289 AH458825 AH524361 AH589897 AH655433 AH720969 AH786505 AH852041 AH917577 AH983113 AJ65609 AJ131145 AJ196681 AJ262217 AJ327753 AJ393289 AJ458825 AJ524361 AJ589897 AJ655433 AJ720969 AJ786505 AJ852041 AJ917577 AJ983113 AJ49 AH49 AH8 AJ8 AB8 AH17 AJ17 Z49 AB49 Z61 AB61 AH61 AJ61 Z73 AB73 AH73 AJ73 AP8 AR8 AP49 AR49 AP61 AR61 AP73 AR73" xr:uid="{00000000-0002-0000-0F00-000002000000}"/>
    <dataValidation type="list" allowBlank="1" showInputMessage="1" showErrorMessage="1" errorTitle="Ошибка" error="Выберите значение из списка" sqref="T65609 T131145 T196681 T262217 T327753 T393289 T458825 T524361 T589897 T655433 T720969 T786505 T852041 T917577 T983113" xr:uid="{00000000-0002-0000-0F00-000003000000}">
      <formula1>kind_of_heat_transfer</formula1>
    </dataValidation>
    <dataValidation type="textLength" operator="lessThanOrEqual" allowBlank="1" showInputMessage="1" showErrorMessage="1" errorTitle="Ошибка" error="Допускается ввод не более 900 символов!" sqref="AU65603:AU65610 AU131139:AU131146 AU196675:AU196682 AU262211:AU262218 AU327747:AU327754 AU393283:AU393290 AU458819:AU458826 AU524355:AU524362 AU589891:AU589898 AU655427:AU655434 AU720963:AU720970 AU786499:AU786506 AU852035:AU852042 AU917571:AU917578 AU983107:AU983114" xr:uid="{00000000-0002-0000-0F00-000004000000}">
      <formula1>900</formula1>
    </dataValidation>
    <dataValidation type="list" allowBlank="1" showInputMessage="1" showErrorMessage="1" errorTitle="Ошибка" error="Выберите значение из списка" sqref="V983111:W983111 V65607:W65607 V131143:W131143 V196679:W196679 V262215:W262215 V327751:W327751 V393287:W393287 V458823:W458823 V524359:W524359 V589895:W589895 V655431:W655431 V720967:W720967 V786503:W786503 V852039:W852039 V917575:W917575 AD983111:AE983111 AD65607:AE65607 AD131143:AE131143 AD196679:AE196679 AD262215:AE262215 AD327751:AE327751 AD393287:AE393287 AD458823:AE458823 AD524359:AE524359 AD589895:AE589895 AD655431:AE655431 AD720967:AE720967 AD786503:AE786503 AD852039:AE852039 AD917575:AE917575" xr:uid="{00000000-0002-0000-0F00-000005000000}">
      <formula1>kind_of_scheme_in</formula1>
    </dataValidation>
    <dataValidation type="list" allowBlank="1" showInputMessage="1" errorTitle="Ошибка" error="Выберите значение из списка" prompt="Выберите значение из списка" sqref="V983112:AT983112 V65608:AT65608 V131144:AT131144 V196680:AT196680 V262216:AT262216 V327752:AT327752 V393288:AT393288 V458824:AT458824 V524360:AT524360 V589896:AT589896 V655432:AT655432 V720968:AT720968 V786504:AT786504 V852040:AT852040 V917576:AT917576" xr:uid="{00000000-0002-0000-0F00-000006000000}">
      <formula1>kind_of_cons</formula1>
    </dataValidation>
    <dataValidation allowBlank="1" sqref="S131147:AU131153 S196683:AU196689 S262219:AU262225 S327755:AU327761 S393291:AU393297 S458827:AU458833 S524363:AU524369 S589899:AU589905 S655435:AU655441 S720971:AU720977 S786507:AU786513 S852043:AU852049 S917579:AU917585 S983115:AU983121 S65611:AU65617" xr:uid="{00000000-0002-0000-0F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A4498-8703-B7E5-02B7-242C9496DD8B}">
  <sheetPr>
    <tabColor theme="6" tint="0.39997558519241921"/>
  </sheetPr>
  <dimension ref="A1:BA66"/>
  <sheetViews>
    <sheetView showGridLines="0" topLeftCell="Q25" zoomScale="90" workbookViewId="0">
      <selection activeCell="AN50" sqref="AN50"/>
    </sheetView>
  </sheetViews>
  <sheetFormatPr defaultColWidth="10.59765625" defaultRowHeight="14.25" customHeight="1"/>
  <cols>
    <col min="1" max="1" width="10.59765625" style="2016" hidden="1"/>
    <col min="2" max="2" width="11" style="2016" hidden="1" customWidth="1"/>
    <col min="3" max="3" width="10.59765625" style="2016" hidden="1"/>
    <col min="4" max="4" width="11.796875" style="2016" hidden="1" customWidth="1"/>
    <col min="5" max="5" width="10" style="2016" hidden="1" customWidth="1"/>
    <col min="6" max="6" width="8.69921875" style="2016" hidden="1" customWidth="1"/>
    <col min="7" max="7" width="7.59765625" style="2016" hidden="1" customWidth="1"/>
    <col min="8" max="8" width="11.3984375" style="2016" hidden="1" customWidth="1"/>
    <col min="9" max="9" width="12" style="2016" hidden="1" customWidth="1"/>
    <col min="10" max="10" width="9.796875" style="2016" hidden="1" customWidth="1"/>
    <col min="11" max="11" width="11.3984375" style="2016" hidden="1" customWidth="1"/>
    <col min="12" max="12" width="19.09765625" style="2216" hidden="1" customWidth="1"/>
    <col min="13" max="14" width="12.296875" style="2006" hidden="1" customWidth="1"/>
    <col min="15" max="15" width="23.3984375" style="2006" hidden="1" customWidth="1"/>
    <col min="16" max="16" width="3.69921875" style="2217" hidden="1" customWidth="1"/>
    <col min="17" max="18" width="3" style="2215" customWidth="1"/>
    <col min="19" max="19" width="12" style="2218" customWidth="1"/>
    <col min="20" max="20" width="31" style="2004" customWidth="1"/>
    <col min="21" max="21" width="9.765625E-2" style="2004" customWidth="1"/>
    <col min="22" max="22" width="24.69921875" style="2004" hidden="1" customWidth="1"/>
    <col min="23" max="23" width="9.765625E-2" style="2004" hidden="1" customWidth="1"/>
    <col min="24" max="25" width="24.69921875" style="2004" hidden="1" customWidth="1"/>
    <col min="26" max="26" width="11.69921875" style="2004" hidden="1" customWidth="1"/>
    <col min="27" max="27" width="3.69921875" style="2004" hidden="1" customWidth="1"/>
    <col min="28" max="28" width="11.69921875" style="2004" hidden="1" customWidth="1"/>
    <col min="29" max="29" width="8.59765625" style="2004" hidden="1" customWidth="1"/>
    <col min="30" max="30" width="24.69921875" style="2004" customWidth="1"/>
    <col min="31" max="31" width="9.765625E-2" style="2004" customWidth="1"/>
    <col min="32" max="33" width="24" style="2004" customWidth="1"/>
    <col min="34" max="34" width="11" style="2004" customWidth="1"/>
    <col min="35" max="35" width="3.69921875" style="2004" customWidth="1"/>
    <col min="36" max="36" width="11" style="2004" customWidth="1"/>
    <col min="37" max="37" width="8.59765625" style="2004" customWidth="1"/>
    <col min="45" max="45" width="10.59765625" hidden="1"/>
    <col min="46" max="46" width="4" style="2004" customWidth="1"/>
    <col min="47" max="47" width="115" style="2004" customWidth="1"/>
    <col min="48" max="52" width="10" style="2017" customWidth="1"/>
    <col min="53" max="53" width="10.59765625" style="2004" hidden="1"/>
  </cols>
  <sheetData>
    <row r="1" spans="1:53" ht="22.5" hidden="1" customHeight="1">
      <c r="A1" s="1785"/>
      <c r="Y1" s="262"/>
      <c r="Z1" s="262"/>
      <c r="AG1" s="262"/>
      <c r="AH1" s="262"/>
      <c r="AL1" s="2219"/>
      <c r="AM1" s="2219"/>
      <c r="AN1" s="2219"/>
      <c r="AO1" s="2219"/>
      <c r="AP1" s="2219"/>
      <c r="AQ1" s="2219"/>
      <c r="AR1" s="2219"/>
      <c r="AS1" s="2219"/>
      <c r="BA1" s="1072" t="s">
        <v>14</v>
      </c>
    </row>
    <row r="2" spans="1:53" ht="21" hidden="1" customHeight="1">
      <c r="A2" s="1280"/>
      <c r="B2" s="1280"/>
      <c r="C2" s="1280"/>
      <c r="D2" s="1280"/>
      <c r="E2" s="3199">
        <v>1</v>
      </c>
      <c r="F2" s="1280"/>
      <c r="G2" s="1280"/>
      <c r="H2" s="1280"/>
      <c r="I2" s="1280"/>
      <c r="J2" s="1280"/>
      <c r="K2" s="1280"/>
      <c r="L2" s="1281"/>
      <c r="M2" s="1282"/>
      <c r="N2" s="1282"/>
      <c r="O2" s="1282"/>
      <c r="P2" s="295"/>
      <c r="Q2" s="294"/>
      <c r="R2" s="289"/>
      <c r="S2" s="1253" t="e">
        <f>INDEX(PT_DIFFERENTIATION_NUM_NTAR,MATCH(A2,PT_DIFFERENTIATION_NTAR_ID,0))</f>
        <v>#N/A</v>
      </c>
      <c r="T2" s="233" t="s">
        <v>137</v>
      </c>
      <c r="U2" s="235"/>
      <c r="V2" s="3185"/>
      <c r="W2" s="3186"/>
      <c r="X2" s="3186"/>
      <c r="Y2" s="3186"/>
      <c r="Z2" s="3186"/>
      <c r="AA2" s="3186"/>
      <c r="AB2" s="3186"/>
      <c r="AC2" s="3187"/>
      <c r="AD2" s="3185" t="e">
        <f>INDEX(PT_DIFFERENTIATION_NTAR,MATCH(A2,PT_DIFFERENTIATION_NTAR_ID,0))</f>
        <v>#N/A</v>
      </c>
      <c r="AE2" s="3186"/>
      <c r="AF2" s="3186"/>
      <c r="AG2" s="3186"/>
      <c r="AH2" s="3186"/>
      <c r="AI2" s="3186"/>
      <c r="AJ2" s="3186"/>
      <c r="AK2" s="3186"/>
      <c r="AL2" s="3185"/>
      <c r="AM2" s="3186"/>
      <c r="AN2" s="3186"/>
      <c r="AO2" s="3186"/>
      <c r="AP2" s="3186"/>
      <c r="AQ2" s="3186"/>
      <c r="AR2" s="3186"/>
      <c r="AS2" s="3187"/>
      <c r="AT2" s="3187"/>
      <c r="AU2" s="1175" t="s">
        <v>431</v>
      </c>
      <c r="AW2" s="434"/>
      <c r="AX2" s="434" t="str">
        <f t="shared" ref="AX2:AX15" si="0">IF(T2="","",T2)</f>
        <v>Наименование тарифа</v>
      </c>
      <c r="AY2" s="434"/>
      <c r="AZ2" s="434"/>
      <c r="BA2" s="1072">
        <v>0</v>
      </c>
    </row>
    <row r="3" spans="1:53" ht="21" hidden="1" customHeight="1">
      <c r="A3" s="1280"/>
      <c r="B3" s="1280"/>
      <c r="C3" s="1280"/>
      <c r="D3" s="1280"/>
      <c r="E3" s="3200"/>
      <c r="F3" s="3199">
        <v>1</v>
      </c>
      <c r="G3" s="1280"/>
      <c r="H3" s="1280"/>
      <c r="I3" s="1280"/>
      <c r="J3" s="1280"/>
      <c r="K3" s="1280"/>
      <c r="L3" s="1281"/>
      <c r="M3" s="1282"/>
      <c r="N3" s="1282"/>
      <c r="O3" s="1282"/>
      <c r="P3" s="1249"/>
      <c r="Q3" s="286"/>
      <c r="R3" s="287"/>
      <c r="S3" s="1253" t="e">
        <f>INDEX(PT_DIFFERENTIATION_NUM_TER,MATCH(B3,PT_DIFFERENTIATION_TER_ID,0))</f>
        <v>#N/A</v>
      </c>
      <c r="T3" s="243" t="s">
        <v>432</v>
      </c>
      <c r="U3" s="235"/>
      <c r="V3" s="3185"/>
      <c r="W3" s="3186"/>
      <c r="X3" s="3186"/>
      <c r="Y3" s="3186"/>
      <c r="Z3" s="3186"/>
      <c r="AA3" s="3186"/>
      <c r="AB3" s="3186"/>
      <c r="AC3" s="3187"/>
      <c r="AD3" s="3185" t="e">
        <f>INDEX(PT_DIFFERENTIATION_TER,MATCH(B3,PT_DIFFERENTIATION_TER_ID,0))</f>
        <v>#N/A</v>
      </c>
      <c r="AE3" s="3186"/>
      <c r="AF3" s="3186"/>
      <c r="AG3" s="3186"/>
      <c r="AH3" s="3186"/>
      <c r="AI3" s="3186"/>
      <c r="AJ3" s="3186"/>
      <c r="AK3" s="3186"/>
      <c r="AL3" s="3185"/>
      <c r="AM3" s="3186"/>
      <c r="AN3" s="3186"/>
      <c r="AO3" s="3186"/>
      <c r="AP3" s="3186"/>
      <c r="AQ3" s="3186"/>
      <c r="AR3" s="3186"/>
      <c r="AS3" s="3187"/>
      <c r="AT3" s="3187"/>
      <c r="AU3" s="1175" t="s">
        <v>433</v>
      </c>
      <c r="AW3" s="434"/>
      <c r="AX3" s="434" t="str">
        <f t="shared" si="0"/>
        <v>Территория действия тарифа</v>
      </c>
      <c r="AY3" s="434"/>
      <c r="AZ3" s="434"/>
      <c r="BA3" s="1072">
        <v>0</v>
      </c>
    </row>
    <row r="4" spans="1:53" ht="23.25" hidden="1" customHeight="1">
      <c r="A4" s="1280"/>
      <c r="B4" s="1280"/>
      <c r="C4" s="1280"/>
      <c r="D4" s="1280"/>
      <c r="E4" s="3200"/>
      <c r="F4" s="3200"/>
      <c r="G4" s="3199">
        <v>1</v>
      </c>
      <c r="H4" s="1280"/>
      <c r="I4" s="1280"/>
      <c r="J4" s="1280"/>
      <c r="K4" s="1280"/>
      <c r="L4" s="1281"/>
      <c r="M4" s="1282"/>
      <c r="N4" s="1282"/>
      <c r="O4" s="1282"/>
      <c r="P4" s="288"/>
      <c r="Q4" s="286"/>
      <c r="R4" s="287"/>
      <c r="S4" s="1919" t="e">
        <f>INDEX(PT_DIFFERENTIATION_NUM_CS,MATCH(C4,PT_DIFFERENTIATION_CS_ID,0))</f>
        <v>#N/A</v>
      </c>
      <c r="T4" s="1923" t="s">
        <v>434</v>
      </c>
      <c r="U4" s="1924"/>
      <c r="V4" s="3231"/>
      <c r="W4" s="3232"/>
      <c r="X4" s="3232"/>
      <c r="Y4" s="3232"/>
      <c r="Z4" s="3232"/>
      <c r="AA4" s="3232"/>
      <c r="AB4" s="3232"/>
      <c r="AC4" s="3233"/>
      <c r="AD4" s="3231" t="e">
        <f>INDEX(PT_DIFFERENTIATION_CS,MATCH(C4,PT_DIFFERENTIATION_CS_ID,0))</f>
        <v>#N/A</v>
      </c>
      <c r="AE4" s="3232"/>
      <c r="AF4" s="3232"/>
      <c r="AG4" s="3232"/>
      <c r="AH4" s="3232"/>
      <c r="AI4" s="3232"/>
      <c r="AJ4" s="3232"/>
      <c r="AK4" s="3232"/>
      <c r="AL4" s="3231"/>
      <c r="AM4" s="3232"/>
      <c r="AN4" s="3232"/>
      <c r="AO4" s="3232"/>
      <c r="AP4" s="3232"/>
      <c r="AQ4" s="3232"/>
      <c r="AR4" s="3232"/>
      <c r="AS4" s="3233"/>
      <c r="AT4" s="3233"/>
      <c r="AU4" s="1175" t="s">
        <v>435</v>
      </c>
      <c r="AW4" s="434"/>
      <c r="AX4" s="434" t="str">
        <f t="shared" si="0"/>
        <v xml:space="preserve">Наименование системы теплоснабжения </v>
      </c>
      <c r="AY4" s="434"/>
      <c r="AZ4" s="434"/>
      <c r="BA4" s="1072">
        <v>0</v>
      </c>
    </row>
    <row r="5" spans="1:53" ht="21" hidden="1" customHeight="1">
      <c r="A5" s="1280"/>
      <c r="B5" s="1280"/>
      <c r="C5" s="1280"/>
      <c r="D5" s="1280"/>
      <c r="E5" s="3200"/>
      <c r="F5" s="3200"/>
      <c r="G5" s="3200"/>
      <c r="H5" s="3199">
        <v>1</v>
      </c>
      <c r="I5" s="1280"/>
      <c r="J5" s="1280"/>
      <c r="K5" s="1280"/>
      <c r="L5" s="1281"/>
      <c r="M5" s="1282"/>
      <c r="N5" s="1282"/>
      <c r="O5" s="1282"/>
      <c r="P5" s="288"/>
      <c r="Q5" s="286"/>
      <c r="R5" s="1552"/>
      <c r="S5" s="1918" t="e">
        <f>INDEX(PT_DIFFERENTIATION_NUM_IST_TE,MATCH(D5,PT_DIFFERENTIATION_IST_TE_ID,0))</f>
        <v>#N/A</v>
      </c>
      <c r="T5" s="245" t="s">
        <v>436</v>
      </c>
      <c r="U5" s="235"/>
      <c r="V5" s="3234"/>
      <c r="W5" s="3234"/>
      <c r="X5" s="3234"/>
      <c r="Y5" s="3234"/>
      <c r="Z5" s="3234"/>
      <c r="AA5" s="3234"/>
      <c r="AB5" s="3234"/>
      <c r="AC5" s="3234"/>
      <c r="AD5" s="3234" t="e">
        <f>INDEX(PT_DIFFERENTIATION_IST_TE,MATCH(D5,PT_DIFFERENTIATION_IST_TE_ID,0))</f>
        <v>#N/A</v>
      </c>
      <c r="AE5" s="3234"/>
      <c r="AF5" s="3234"/>
      <c r="AG5" s="3234"/>
      <c r="AH5" s="3234"/>
      <c r="AI5" s="3234"/>
      <c r="AJ5" s="3234"/>
      <c r="AK5" s="3234"/>
      <c r="AL5" s="3234"/>
      <c r="AM5" s="3234"/>
      <c r="AN5" s="3234"/>
      <c r="AO5" s="3234"/>
      <c r="AP5" s="3234"/>
      <c r="AQ5" s="3234"/>
      <c r="AR5" s="3234"/>
      <c r="AS5" s="3234"/>
      <c r="AT5" s="3234"/>
      <c r="AU5" s="1921" t="s">
        <v>437</v>
      </c>
      <c r="AW5" s="434"/>
      <c r="AX5" s="434" t="str">
        <f t="shared" si="0"/>
        <v xml:space="preserve">Источник тепловой энергии  </v>
      </c>
      <c r="AY5" s="434"/>
      <c r="AZ5" s="434"/>
      <c r="BA5" s="1072">
        <v>0</v>
      </c>
    </row>
    <row r="6" spans="1:53" ht="0.75" hidden="1" customHeight="1">
      <c r="A6" s="1280"/>
      <c r="B6" s="1280"/>
      <c r="C6" s="1280"/>
      <c r="D6" s="1280"/>
      <c r="E6" s="3200"/>
      <c r="F6" s="3200"/>
      <c r="G6" s="3200"/>
      <c r="H6" s="3200"/>
      <c r="I6" s="3197" t="e">
        <f>S5&amp;".1"</f>
        <v>#N/A</v>
      </c>
      <c r="J6" s="1280"/>
      <c r="K6" s="1280"/>
      <c r="L6" s="1281" t="s">
        <v>438</v>
      </c>
      <c r="M6" s="471"/>
      <c r="P6" s="3198">
        <v>1</v>
      </c>
      <c r="Q6" s="1248"/>
      <c r="R6" s="1917"/>
      <c r="S6" s="963"/>
      <c r="T6" s="1300"/>
      <c r="U6" s="1301"/>
      <c r="V6" s="3235"/>
      <c r="W6" s="3235"/>
      <c r="X6" s="3235"/>
      <c r="Y6" s="3235"/>
      <c r="Z6" s="3235"/>
      <c r="AA6" s="3235"/>
      <c r="AB6" s="3235"/>
      <c r="AC6" s="3235"/>
      <c r="AD6" s="3235"/>
      <c r="AE6" s="3235"/>
      <c r="AF6" s="3235"/>
      <c r="AG6" s="3235"/>
      <c r="AH6" s="3235"/>
      <c r="AI6" s="3235"/>
      <c r="AJ6" s="3235"/>
      <c r="AK6" s="3235"/>
      <c r="AL6" s="3235"/>
      <c r="AM6" s="3235"/>
      <c r="AN6" s="3235"/>
      <c r="AO6" s="3235"/>
      <c r="AP6" s="3235"/>
      <c r="AQ6" s="3235"/>
      <c r="AR6" s="3235"/>
      <c r="AS6" s="3235"/>
      <c r="AT6" s="3235"/>
      <c r="AU6" s="1922"/>
      <c r="AW6" s="434"/>
      <c r="AX6" s="434" t="str">
        <f t="shared" si="0"/>
        <v/>
      </c>
      <c r="AY6" s="434"/>
      <c r="AZ6" s="434"/>
      <c r="BA6" s="1072">
        <v>0</v>
      </c>
    </row>
    <row r="7" spans="1:53" ht="84" hidden="1" customHeight="1">
      <c r="A7" s="1280"/>
      <c r="B7" s="1280"/>
      <c r="C7" s="1280"/>
      <c r="D7" s="1280"/>
      <c r="E7" s="3200"/>
      <c r="F7" s="3200"/>
      <c r="G7" s="3200"/>
      <c r="H7" s="3200"/>
      <c r="I7" s="3220"/>
      <c r="J7" s="3197" t="e">
        <f>I6&amp;".1"</f>
        <v>#N/A</v>
      </c>
      <c r="K7" s="1280"/>
      <c r="L7" s="1281" t="s">
        <v>441</v>
      </c>
      <c r="M7" s="471"/>
      <c r="N7" s="1283"/>
      <c r="P7" s="3198"/>
      <c r="Q7" s="3198">
        <v>1</v>
      </c>
      <c r="R7" s="1559"/>
      <c r="S7" s="1918" t="e">
        <f>$J7</f>
        <v>#N/A</v>
      </c>
      <c r="T7" s="221" t="s">
        <v>442</v>
      </c>
      <c r="U7" s="235"/>
      <c r="V7" s="3237"/>
      <c r="W7" s="3237"/>
      <c r="X7" s="3237"/>
      <c r="Y7" s="3237"/>
      <c r="Z7" s="3237"/>
      <c r="AA7" s="3237"/>
      <c r="AB7" s="3237"/>
      <c r="AC7" s="3237"/>
      <c r="AD7" s="3237"/>
      <c r="AE7" s="3237"/>
      <c r="AF7" s="3237"/>
      <c r="AG7" s="3237"/>
      <c r="AH7" s="3237"/>
      <c r="AI7" s="3237"/>
      <c r="AJ7" s="3237"/>
      <c r="AK7" s="3237"/>
      <c r="AL7" s="3237"/>
      <c r="AM7" s="3237"/>
      <c r="AN7" s="3237"/>
      <c r="AO7" s="3237"/>
      <c r="AP7" s="3237"/>
      <c r="AQ7" s="3237"/>
      <c r="AR7" s="3237"/>
      <c r="AS7" s="3237"/>
      <c r="AT7" s="3237"/>
      <c r="AU7" s="1921" t="s">
        <v>443</v>
      </c>
      <c r="AW7" s="434"/>
      <c r="AX7" s="434" t="str">
        <f t="shared" si="0"/>
        <v>Группа потребителей</v>
      </c>
      <c r="AY7" s="434"/>
      <c r="AZ7" s="434"/>
      <c r="BA7" s="1072">
        <v>0</v>
      </c>
    </row>
    <row r="8" spans="1:53" ht="11.25" hidden="1" customHeight="1">
      <c r="A8" s="1280"/>
      <c r="B8" s="1280"/>
      <c r="C8" s="1280"/>
      <c r="D8" s="1280"/>
      <c r="E8" s="3200"/>
      <c r="F8" s="3200"/>
      <c r="G8" s="3200"/>
      <c r="H8" s="3200"/>
      <c r="I8" s="3220"/>
      <c r="J8" s="3220"/>
      <c r="K8" s="3197" t="e">
        <f>J7&amp;".1"</f>
        <v>#N/A</v>
      </c>
      <c r="L8" s="1281" t="s">
        <v>444</v>
      </c>
      <c r="M8" s="471"/>
      <c r="N8" s="1283"/>
      <c r="O8" s="1283"/>
      <c r="P8" s="3198"/>
      <c r="Q8" s="3198"/>
      <c r="R8" s="291">
        <v>1</v>
      </c>
      <c r="S8" s="1920" t="e">
        <f>$K8</f>
        <v>#N/A</v>
      </c>
      <c r="T8" s="1925"/>
      <c r="U8" s="1926"/>
      <c r="V8" s="1927"/>
      <c r="W8" s="1266"/>
      <c r="X8" s="1927"/>
      <c r="Y8" s="1928"/>
      <c r="Z8" s="3236"/>
      <c r="AA8" s="3053" t="s">
        <v>67</v>
      </c>
      <c r="AB8" s="3236"/>
      <c r="AC8" s="3053" t="s">
        <v>67</v>
      </c>
      <c r="AD8" s="1927"/>
      <c r="AE8" s="1266"/>
      <c r="AF8" s="1927"/>
      <c r="AG8" s="1928"/>
      <c r="AH8" s="3236"/>
      <c r="AI8" s="3053" t="s">
        <v>67</v>
      </c>
      <c r="AJ8" s="3236"/>
      <c r="AK8" s="3053" t="s">
        <v>67</v>
      </c>
      <c r="AL8" s="2692"/>
      <c r="AM8" s="2693"/>
      <c r="AN8" s="2692"/>
      <c r="AO8" s="2694"/>
      <c r="AP8" s="3236"/>
      <c r="AQ8" s="3053" t="s">
        <v>67</v>
      </c>
      <c r="AR8" s="3236"/>
      <c r="AS8" s="3053" t="s">
        <v>67</v>
      </c>
      <c r="AT8" s="1266"/>
      <c r="AU8" s="3194" t="s">
        <v>445</v>
      </c>
      <c r="AV8" s="445" t="e">
        <f ca="1">STRCHECKDATE(V9:AT9)</f>
        <v>#NAME?</v>
      </c>
      <c r="AW8" s="434"/>
      <c r="AX8" s="434" t="str">
        <f t="shared" si="0"/>
        <v/>
      </c>
      <c r="AY8" s="434"/>
      <c r="AZ8" s="434"/>
      <c r="BA8" s="1072">
        <v>0</v>
      </c>
    </row>
    <row r="9" spans="1:53" ht="0.75" hidden="1" customHeight="1">
      <c r="A9" s="1280"/>
      <c r="B9" s="1280"/>
      <c r="C9" s="1280"/>
      <c r="D9" s="1280"/>
      <c r="E9" s="3200"/>
      <c r="F9" s="3200"/>
      <c r="G9" s="3200"/>
      <c r="H9" s="3200"/>
      <c r="I9" s="3220"/>
      <c r="J9" s="3220"/>
      <c r="K9" s="3197"/>
      <c r="L9" s="1281"/>
      <c r="M9" s="471"/>
      <c r="N9" s="1283"/>
      <c r="O9" s="1283"/>
      <c r="P9" s="3198"/>
      <c r="Q9" s="3198"/>
      <c r="R9" s="291"/>
      <c r="S9" s="1259"/>
      <c r="T9" s="235"/>
      <c r="U9" s="235"/>
      <c r="V9" s="260"/>
      <c r="W9" s="260"/>
      <c r="X9" s="260"/>
      <c r="Y9" s="263" t="str">
        <f>Z8&amp;"-"&amp;AB8</f>
        <v>-</v>
      </c>
      <c r="Z9" s="3203"/>
      <c r="AA9" s="3048"/>
      <c r="AB9" s="3203"/>
      <c r="AC9" s="3048"/>
      <c r="AD9" s="260"/>
      <c r="AE9" s="260"/>
      <c r="AF9" s="260"/>
      <c r="AG9" s="263" t="str">
        <f>AH8&amp;"-"&amp;AJ8</f>
        <v>-</v>
      </c>
      <c r="AH9" s="3203"/>
      <c r="AI9" s="3048"/>
      <c r="AJ9" s="3203"/>
      <c r="AK9" s="3048"/>
      <c r="AL9" s="2221"/>
      <c r="AM9" s="2221"/>
      <c r="AN9" s="2221"/>
      <c r="AO9" s="2223" t="str">
        <f>AP8&amp;"-"&amp;AR8</f>
        <v>-</v>
      </c>
      <c r="AP9" s="3203"/>
      <c r="AQ9" s="3048"/>
      <c r="AR9" s="3203"/>
      <c r="AS9" s="3048"/>
      <c r="AT9" s="260"/>
      <c r="AU9" s="3195"/>
      <c r="AW9" s="434"/>
      <c r="AX9" s="434" t="str">
        <f t="shared" si="0"/>
        <v/>
      </c>
      <c r="AY9" s="434"/>
      <c r="AZ9" s="434"/>
      <c r="BA9" s="1072">
        <v>0</v>
      </c>
    </row>
    <row r="10" spans="1:53" ht="11.25" hidden="1" customHeight="1">
      <c r="A10" s="1280"/>
      <c r="B10" s="1280"/>
      <c r="C10" s="1280"/>
      <c r="D10" s="1280"/>
      <c r="E10" s="3200"/>
      <c r="F10" s="3200"/>
      <c r="G10" s="3200"/>
      <c r="H10" s="3200"/>
      <c r="I10" s="3220"/>
      <c r="J10" s="3197"/>
      <c r="K10" s="1280"/>
      <c r="L10" s="1281"/>
      <c r="M10" s="471"/>
      <c r="N10" s="1283"/>
      <c r="P10" s="3198"/>
      <c r="Q10" s="3198"/>
      <c r="R10" s="290"/>
      <c r="S10" s="1195"/>
      <c r="T10" s="222" t="s">
        <v>446</v>
      </c>
      <c r="U10" s="301"/>
      <c r="V10" s="301"/>
      <c r="W10" s="301"/>
      <c r="X10" s="301"/>
      <c r="Y10" s="301"/>
      <c r="Z10" s="301"/>
      <c r="AA10" s="301"/>
      <c r="AB10" s="301"/>
      <c r="AC10" s="301"/>
      <c r="AD10" s="301"/>
      <c r="AE10" s="301"/>
      <c r="AF10" s="301"/>
      <c r="AG10" s="301"/>
      <c r="AH10" s="301"/>
      <c r="AI10" s="301"/>
      <c r="AJ10" s="301"/>
      <c r="AK10" s="301"/>
      <c r="AL10" s="2695"/>
      <c r="AM10" s="2696"/>
      <c r="AN10" s="2697"/>
      <c r="AO10" s="2698"/>
      <c r="AP10" s="2699"/>
      <c r="AQ10" s="2700"/>
      <c r="AR10" s="2701"/>
      <c r="AS10" s="2702"/>
      <c r="AT10" s="259"/>
      <c r="AU10" s="3196"/>
      <c r="AW10" s="434"/>
      <c r="AX10" s="434" t="str">
        <f t="shared" si="0"/>
        <v>Добавить вид теплоносителя (параметры теплоносителя)</v>
      </c>
      <c r="AY10" s="434"/>
      <c r="AZ10" s="434"/>
      <c r="BA10" s="1072">
        <v>0</v>
      </c>
    </row>
    <row r="11" spans="1:53" ht="11.25" hidden="1" customHeight="1">
      <c r="A11" s="1280"/>
      <c r="B11" s="1280"/>
      <c r="C11" s="1280"/>
      <c r="D11" s="1280"/>
      <c r="E11" s="3200"/>
      <c r="F11" s="3200"/>
      <c r="G11" s="3200"/>
      <c r="H11" s="3200"/>
      <c r="I11" s="3197"/>
      <c r="J11" s="1280"/>
      <c r="K11" s="1280"/>
      <c r="L11" s="1281"/>
      <c r="M11" s="471"/>
      <c r="P11" s="3198"/>
      <c r="Q11" s="1248"/>
      <c r="R11" s="290"/>
      <c r="S11" s="1195"/>
      <c r="T11" s="299" t="s">
        <v>447</v>
      </c>
      <c r="U11" s="301"/>
      <c r="V11" s="301"/>
      <c r="W11" s="301"/>
      <c r="X11" s="301"/>
      <c r="Y11" s="301"/>
      <c r="Z11" s="301"/>
      <c r="AA11" s="301"/>
      <c r="AB11" s="301"/>
      <c r="AC11" s="300"/>
      <c r="AD11" s="301"/>
      <c r="AE11" s="301"/>
      <c r="AF11" s="301"/>
      <c r="AG11" s="301"/>
      <c r="AH11" s="301"/>
      <c r="AI11" s="301"/>
      <c r="AJ11" s="301"/>
      <c r="AK11" s="300"/>
      <c r="AL11" s="2703"/>
      <c r="AM11" s="2704"/>
      <c r="AN11" s="2705"/>
      <c r="AO11" s="2706"/>
      <c r="AP11" s="2707"/>
      <c r="AQ11" s="2708"/>
      <c r="AR11" s="2709"/>
      <c r="AS11" s="2710"/>
      <c r="AT11" s="301"/>
      <c r="AU11" s="238"/>
      <c r="AW11" s="434"/>
      <c r="AX11" s="434" t="str">
        <f t="shared" si="0"/>
        <v>Добавить группу потребителей</v>
      </c>
      <c r="AY11" s="434"/>
      <c r="AZ11" s="434"/>
      <c r="BA11" s="1072">
        <v>0</v>
      </c>
    </row>
    <row r="12" spans="1:53" ht="0.75" hidden="1" customHeight="1">
      <c r="A12" s="1280"/>
      <c r="B12" s="1280"/>
      <c r="C12" s="1280"/>
      <c r="D12" s="1280"/>
      <c r="E12" s="3200"/>
      <c r="F12" s="3200"/>
      <c r="G12" s="3200"/>
      <c r="H12" s="3199"/>
      <c r="I12" s="1280"/>
      <c r="J12" s="1280"/>
      <c r="K12" s="1280"/>
      <c r="L12" s="1281"/>
      <c r="M12" s="1282"/>
      <c r="N12" s="1282"/>
      <c r="O12" s="471"/>
      <c r="P12" s="294"/>
      <c r="Q12" s="309"/>
      <c r="R12" s="289"/>
      <c r="S12" s="1303"/>
      <c r="T12" s="1304"/>
      <c r="U12" s="1305"/>
      <c r="V12" s="1305"/>
      <c r="W12" s="1305"/>
      <c r="X12" s="1305"/>
      <c r="Y12" s="1305"/>
      <c r="Z12" s="1305"/>
      <c r="AA12" s="1305"/>
      <c r="AB12" s="1305"/>
      <c r="AC12" s="1305"/>
      <c r="AD12" s="1305"/>
      <c r="AE12" s="1305"/>
      <c r="AF12" s="1305"/>
      <c r="AG12" s="1305"/>
      <c r="AH12" s="1305"/>
      <c r="AI12" s="1305"/>
      <c r="AJ12" s="1305"/>
      <c r="AK12" s="1305"/>
      <c r="AL12" s="2530"/>
      <c r="AM12" s="2530"/>
      <c r="AN12" s="2530"/>
      <c r="AO12" s="2530"/>
      <c r="AP12" s="2530"/>
      <c r="AQ12" s="2530"/>
      <c r="AR12" s="2530"/>
      <c r="AS12" s="2530"/>
      <c r="AT12" s="1305"/>
      <c r="AU12" s="1306"/>
      <c r="AW12" s="434"/>
      <c r="AX12" s="434" t="str">
        <f t="shared" si="0"/>
        <v/>
      </c>
      <c r="AY12" s="434"/>
      <c r="AZ12" s="434"/>
      <c r="BA12" s="1072">
        <v>0</v>
      </c>
    </row>
    <row r="13" spans="1:53" s="2017" customFormat="1" ht="0.75" hidden="1" customHeight="1">
      <c r="A13" s="1231"/>
      <c r="B13" s="1231"/>
      <c r="C13" s="1231"/>
      <c r="D13" s="1231"/>
      <c r="E13" s="3200"/>
      <c r="F13" s="3200"/>
      <c r="G13" s="3199"/>
      <c r="H13" s="1231"/>
      <c r="I13" s="1231"/>
      <c r="J13" s="1231"/>
      <c r="K13" s="1231"/>
      <c r="L13" s="1256"/>
      <c r="M13" s="1232"/>
      <c r="N13" s="1232"/>
      <c r="P13" s="1233"/>
      <c r="Q13" s="1234"/>
      <c r="R13" s="1233"/>
      <c r="S13" s="1235"/>
      <c r="T13" s="1236" t="s">
        <v>180</v>
      </c>
      <c r="U13" s="1237"/>
      <c r="V13" s="1237"/>
      <c r="W13" s="1237"/>
      <c r="X13" s="1237"/>
      <c r="Y13" s="1237"/>
      <c r="Z13" s="1237"/>
      <c r="AA13" s="1237"/>
      <c r="AB13" s="1237"/>
      <c r="AC13" s="1237"/>
      <c r="AD13" s="1237"/>
      <c r="AE13" s="1237"/>
      <c r="AF13" s="1237"/>
      <c r="AG13" s="1237"/>
      <c r="AH13" s="1237"/>
      <c r="AI13" s="1237"/>
      <c r="AJ13" s="1237"/>
      <c r="AK13" s="1237"/>
      <c r="AL13" s="2248"/>
      <c r="AM13" s="2248"/>
      <c r="AN13" s="2248"/>
      <c r="AO13" s="2248"/>
      <c r="AP13" s="2248"/>
      <c r="AQ13" s="2248"/>
      <c r="AR13" s="2248"/>
      <c r="AS13" s="2248"/>
      <c r="AT13" s="1237"/>
      <c r="AU13" s="1237"/>
      <c r="AW13" s="717"/>
      <c r="AX13" s="717" t="str">
        <f t="shared" si="0"/>
        <v>Добавить источник для дифференциации</v>
      </c>
      <c r="AY13" s="717"/>
      <c r="AZ13" s="717"/>
      <c r="BA13" s="452">
        <v>0</v>
      </c>
    </row>
    <row r="14" spans="1:53" s="2017" customFormat="1" ht="0.75" hidden="1" customHeight="1">
      <c r="A14" s="1231"/>
      <c r="B14" s="1231"/>
      <c r="C14" s="1231"/>
      <c r="D14" s="1231"/>
      <c r="E14" s="3200"/>
      <c r="F14" s="3199"/>
      <c r="G14" s="1231"/>
      <c r="H14" s="1231"/>
      <c r="I14" s="1231"/>
      <c r="J14" s="1231"/>
      <c r="K14" s="1231"/>
      <c r="L14" s="1256"/>
      <c r="M14" s="1238"/>
      <c r="N14" s="1238"/>
      <c r="P14" s="1233"/>
      <c r="Q14" s="1234"/>
      <c r="R14" s="1233"/>
      <c r="S14" s="1239"/>
      <c r="T14" s="1240" t="s">
        <v>181</v>
      </c>
      <c r="U14" s="1241"/>
      <c r="V14" s="1241"/>
      <c r="W14" s="1241"/>
      <c r="X14" s="1241"/>
      <c r="Y14" s="1241"/>
      <c r="Z14" s="1241"/>
      <c r="AA14" s="1241"/>
      <c r="AB14" s="1241"/>
      <c r="AC14" s="1241"/>
      <c r="AD14" s="1241"/>
      <c r="AE14" s="1241"/>
      <c r="AF14" s="1241"/>
      <c r="AG14" s="1241"/>
      <c r="AH14" s="1241"/>
      <c r="AI14" s="1241"/>
      <c r="AJ14" s="1241"/>
      <c r="AK14" s="1241"/>
      <c r="AL14" s="2249"/>
      <c r="AM14" s="2249"/>
      <c r="AN14" s="2249"/>
      <c r="AO14" s="2249"/>
      <c r="AP14" s="2249"/>
      <c r="AQ14" s="2249"/>
      <c r="AR14" s="2249"/>
      <c r="AS14" s="2249"/>
      <c r="AT14" s="1241"/>
      <c r="AU14" s="1241"/>
      <c r="AW14" s="717"/>
      <c r="AX14" s="717" t="str">
        <f t="shared" si="0"/>
        <v>Добавить централизованную систему для дифференциации</v>
      </c>
      <c r="AY14" s="717"/>
      <c r="AZ14" s="717"/>
      <c r="BA14" s="452">
        <v>0</v>
      </c>
    </row>
    <row r="15" spans="1:53" s="2017" customFormat="1" ht="0.75" hidden="1" customHeight="1">
      <c r="A15" s="1231"/>
      <c r="B15" s="1231"/>
      <c r="C15" s="1231"/>
      <c r="D15" s="1231"/>
      <c r="E15" s="3199"/>
      <c r="F15" s="1231"/>
      <c r="G15" s="1231"/>
      <c r="H15" s="1231"/>
      <c r="I15" s="1231"/>
      <c r="J15" s="1231"/>
      <c r="K15" s="1231"/>
      <c r="L15" s="1256"/>
      <c r="M15" s="1238"/>
      <c r="N15" s="1238"/>
      <c r="P15" s="1233"/>
      <c r="Q15" s="1234"/>
      <c r="R15" s="1233"/>
      <c r="S15" s="1239"/>
      <c r="T15" s="1242" t="s">
        <v>188</v>
      </c>
      <c r="U15" s="1241"/>
      <c r="V15" s="1241"/>
      <c r="W15" s="1241"/>
      <c r="X15" s="1241"/>
      <c r="Y15" s="1241"/>
      <c r="Z15" s="1241"/>
      <c r="AA15" s="1241"/>
      <c r="AB15" s="1241"/>
      <c r="AC15" s="1241"/>
      <c r="AD15" s="1241"/>
      <c r="AE15" s="1241"/>
      <c r="AF15" s="1241"/>
      <c r="AG15" s="1241"/>
      <c r="AH15" s="1241"/>
      <c r="AI15" s="1241"/>
      <c r="AJ15" s="1241"/>
      <c r="AK15" s="1241"/>
      <c r="AL15" s="2249"/>
      <c r="AM15" s="2249"/>
      <c r="AN15" s="2249"/>
      <c r="AO15" s="2249"/>
      <c r="AP15" s="2249"/>
      <c r="AQ15" s="2249"/>
      <c r="AR15" s="2249"/>
      <c r="AS15" s="2249"/>
      <c r="AT15" s="1241"/>
      <c r="AU15" s="1241"/>
      <c r="AW15" s="717"/>
      <c r="AX15" s="717" t="str">
        <f t="shared" si="0"/>
        <v>Добавить территорию для дифференциации</v>
      </c>
      <c r="AY15" s="717"/>
      <c r="AZ15" s="717"/>
      <c r="BA15" s="452">
        <v>0</v>
      </c>
    </row>
    <row r="16" spans="1:53" ht="14.25" hidden="1" customHeight="1">
      <c r="AC16" s="262"/>
      <c r="AK16" s="262"/>
      <c r="AL16" s="2219"/>
      <c r="AM16" s="2219"/>
      <c r="AN16" s="2219"/>
      <c r="AO16" s="2219"/>
      <c r="AP16" s="2219"/>
      <c r="AQ16" s="2219"/>
      <c r="AR16" s="2219"/>
      <c r="AS16" s="2219"/>
      <c r="BA16" s="1072">
        <v>0</v>
      </c>
    </row>
    <row r="17" spans="1:53" ht="14.25" hidden="1" customHeight="1">
      <c r="AD17" s="1277"/>
      <c r="AE17" s="1277"/>
      <c r="AF17" s="1277"/>
      <c r="AG17" s="1278"/>
      <c r="AH17" s="3204"/>
      <c r="AI17" s="3205" t="s">
        <v>67</v>
      </c>
      <c r="AJ17" s="3204"/>
      <c r="AK17" s="3205" t="s">
        <v>67</v>
      </c>
      <c r="AL17" s="2219"/>
      <c r="AM17" s="2219"/>
      <c r="AN17" s="2219"/>
      <c r="AO17" s="2219"/>
      <c r="AP17" s="2219"/>
      <c r="AQ17" s="2219"/>
      <c r="AR17" s="2219"/>
      <c r="AS17" s="2219"/>
      <c r="BA17" s="1072">
        <v>0</v>
      </c>
    </row>
    <row r="18" spans="1:53" ht="14.25" hidden="1" customHeight="1">
      <c r="AD18" s="1277"/>
      <c r="AE18" s="1277"/>
      <c r="AF18" s="1277"/>
      <c r="AG18" s="263" t="str">
        <f>AH17&amp;"-"&amp;AJ17</f>
        <v>-</v>
      </c>
      <c r="AH18" s="3205"/>
      <c r="AI18" s="3205"/>
      <c r="AJ18" s="3205"/>
      <c r="AK18" s="3205"/>
      <c r="AL18" s="2219"/>
      <c r="AM18" s="2219"/>
      <c r="AN18" s="2219"/>
      <c r="AO18" s="2219"/>
      <c r="AP18" s="2219"/>
      <c r="AQ18" s="2219"/>
      <c r="AR18" s="2219"/>
      <c r="AS18" s="2219"/>
      <c r="BA18" s="1072">
        <v>0</v>
      </c>
    </row>
    <row r="19" spans="1:53" ht="14.25" hidden="1" customHeight="1">
      <c r="AK19" s="262"/>
      <c r="AL19" s="2219"/>
      <c r="AM19" s="2219"/>
      <c r="AN19" s="2219"/>
      <c r="AO19" s="2219"/>
      <c r="AP19" s="2219"/>
      <c r="AQ19" s="2219"/>
      <c r="AR19" s="2219"/>
      <c r="AS19" s="2219"/>
      <c r="BA19" s="1072">
        <v>0</v>
      </c>
    </row>
    <row r="20" spans="1:53" s="2016" customFormat="1" ht="22.5" hidden="1" customHeight="1">
      <c r="L20" s="1246"/>
      <c r="M20" s="1279"/>
      <c r="N20" s="1279"/>
      <c r="O20" s="1284" t="s">
        <v>449</v>
      </c>
      <c r="P20" s="1279"/>
      <c r="Q20" s="1288"/>
      <c r="R20" s="1288"/>
      <c r="S20" s="663"/>
      <c r="Z20" s="1284"/>
      <c r="AB20" s="1284"/>
      <c r="AC20" s="1283"/>
      <c r="AH20" s="1284"/>
      <c r="AJ20" s="1284"/>
      <c r="AK20" s="1283"/>
      <c r="AL20" s="2250"/>
      <c r="AM20" s="2250"/>
      <c r="AN20" s="2250"/>
      <c r="AO20" s="2250"/>
      <c r="AP20" s="2251"/>
      <c r="AQ20" s="2250"/>
      <c r="AR20" s="2251"/>
      <c r="AS20" s="2250"/>
      <c r="AV20" s="445"/>
      <c r="AW20" s="445"/>
      <c r="AX20" s="445"/>
      <c r="AY20" s="445"/>
      <c r="AZ20" s="445"/>
      <c r="BA20" s="1077">
        <v>0</v>
      </c>
    </row>
    <row r="21" spans="1:53" s="2016" customFormat="1" ht="14.25" hidden="1" customHeight="1">
      <c r="L21" s="1246"/>
      <c r="M21" s="1279"/>
      <c r="N21" s="1279"/>
      <c r="O21" s="1279"/>
      <c r="P21" s="1279"/>
      <c r="Q21" s="1288"/>
      <c r="R21" s="1288"/>
      <c r="S21" s="663"/>
      <c r="AC21" s="1283"/>
      <c r="AK21" s="1283"/>
      <c r="AL21" s="2250"/>
      <c r="AM21" s="2250"/>
      <c r="AN21" s="2250"/>
      <c r="AO21" s="2250"/>
      <c r="AP21" s="2250"/>
      <c r="AQ21" s="2250"/>
      <c r="AR21" s="2250"/>
      <c r="AS21" s="2250"/>
      <c r="AV21" s="445"/>
      <c r="AW21" s="445"/>
      <c r="AX21" s="445"/>
      <c r="AY21" s="445"/>
      <c r="AZ21" s="445"/>
      <c r="BA21" s="1077">
        <v>0</v>
      </c>
    </row>
    <row r="22" spans="1:53" s="2016" customFormat="1" ht="14.25" hidden="1" customHeight="1">
      <c r="L22" s="1246"/>
      <c r="M22" s="1279"/>
      <c r="N22" s="1279"/>
      <c r="O22" s="1281" t="s">
        <v>450</v>
      </c>
      <c r="P22" s="1279"/>
      <c r="Q22" s="1288"/>
      <c r="R22" s="1288"/>
      <c r="S22" s="663"/>
      <c r="T22" s="1077" t="s">
        <v>451</v>
      </c>
      <c r="AA22" s="121" t="s">
        <v>452</v>
      </c>
      <c r="AC22" s="121" t="s">
        <v>453</v>
      </c>
      <c r="AD22" s="1077" t="s">
        <v>451</v>
      </c>
      <c r="AI22" s="121" t="s">
        <v>454</v>
      </c>
      <c r="AK22" s="121" t="s">
        <v>453</v>
      </c>
      <c r="AL22" s="2250"/>
      <c r="AM22" s="2250"/>
      <c r="AN22" s="2250"/>
      <c r="AO22" s="2250"/>
      <c r="AP22" s="2250"/>
      <c r="AQ22" s="2252" t="s">
        <v>452</v>
      </c>
      <c r="AR22" s="2250"/>
      <c r="AS22" s="2252" t="s">
        <v>453</v>
      </c>
      <c r="AV22" s="445"/>
      <c r="AW22" s="445"/>
      <c r="AX22" s="445"/>
      <c r="AY22" s="445"/>
      <c r="AZ22" s="445"/>
      <c r="BA22" s="1077">
        <v>0</v>
      </c>
    </row>
    <row r="23" spans="1:53" ht="14.25" hidden="1" customHeight="1">
      <c r="O23" s="1281"/>
      <c r="AL23" s="2219"/>
      <c r="AM23" s="2219"/>
      <c r="AN23" s="2219"/>
      <c r="AO23" s="2219"/>
      <c r="AP23" s="2219"/>
      <c r="AQ23" s="2219"/>
      <c r="AR23" s="2219"/>
      <c r="AS23" s="2219"/>
      <c r="BA23" s="1072">
        <v>0</v>
      </c>
    </row>
    <row r="24" spans="1:53" ht="14.25" hidden="1" customHeight="1">
      <c r="O24" s="1281"/>
      <c r="AL24" s="2219"/>
      <c r="AM24" s="2219"/>
      <c r="AN24" s="2219"/>
      <c r="AO24" s="2219"/>
      <c r="AP24" s="2219"/>
      <c r="AQ24" s="2219"/>
      <c r="AR24" s="2219"/>
      <c r="AS24" s="2219"/>
      <c r="BA24" s="1072">
        <v>0</v>
      </c>
    </row>
    <row r="25" spans="1:53" ht="14.65" customHeight="1">
      <c r="Q25" s="310"/>
      <c r="R25" s="310"/>
      <c r="S25" s="1192"/>
      <c r="T25" s="297"/>
      <c r="U25" s="297"/>
      <c r="V25" s="443"/>
      <c r="W25" s="443"/>
      <c r="X25" s="443"/>
      <c r="Y25" s="443"/>
      <c r="Z25" s="443"/>
      <c r="AA25" s="443"/>
      <c r="AB25" s="443"/>
      <c r="AC25" s="443"/>
      <c r="AD25" s="443"/>
      <c r="AE25" s="443"/>
      <c r="AF25" s="443"/>
      <c r="AG25" s="443"/>
      <c r="AH25" s="443"/>
      <c r="AI25" s="443"/>
      <c r="AJ25" s="443"/>
      <c r="AK25" s="443"/>
      <c r="AL25" s="2219"/>
      <c r="AM25" s="2219"/>
      <c r="AN25" s="2219"/>
      <c r="AO25" s="2219"/>
      <c r="AP25" s="2219"/>
      <c r="AQ25" s="2219"/>
      <c r="AR25" s="2219"/>
      <c r="AS25" s="2219"/>
      <c r="BA25" s="1072">
        <v>14</v>
      </c>
    </row>
    <row r="26" spans="1:53" ht="54.75" customHeight="1">
      <c r="Q26" s="310"/>
      <c r="R26" s="310"/>
      <c r="S26" s="3144"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3144"/>
      <c r="U26" s="3144"/>
      <c r="V26" s="3144"/>
      <c r="W26" s="3144"/>
      <c r="X26" s="3144"/>
      <c r="Y26" s="3144"/>
      <c r="Z26" s="3144"/>
      <c r="AA26" s="3144"/>
      <c r="AB26" s="3144"/>
      <c r="AC26" s="3144"/>
      <c r="AD26" s="3144"/>
      <c r="AE26" s="3144"/>
      <c r="AF26" s="3144"/>
      <c r="AG26" s="3144"/>
      <c r="AH26" s="3144"/>
      <c r="AI26" s="3144"/>
      <c r="AJ26" s="3144"/>
      <c r="AK26" s="1160"/>
      <c r="AL26" s="2711"/>
      <c r="AM26" s="2711"/>
      <c r="AN26" s="2711"/>
      <c r="AO26" s="2711"/>
      <c r="AP26" s="2711"/>
      <c r="AQ26" s="2711"/>
      <c r="AR26" s="2711"/>
      <c r="AS26" s="2711"/>
      <c r="BA26" s="1072">
        <v>52</v>
      </c>
    </row>
    <row r="27" spans="1:53" ht="14.65" customHeight="1">
      <c r="Q27" s="310"/>
      <c r="R27" s="310"/>
      <c r="S27" s="3131" t="str">
        <f>IF(org=0,"Не определено",org)</f>
        <v>ООО "РСО"</v>
      </c>
      <c r="T27" s="3131"/>
      <c r="U27" s="3131"/>
      <c r="V27" s="3131"/>
      <c r="W27" s="3131"/>
      <c r="X27" s="3131"/>
      <c r="Y27" s="3131"/>
      <c r="Z27" s="3131"/>
      <c r="AA27" s="3131"/>
      <c r="AB27" s="3131"/>
      <c r="AC27" s="3131"/>
      <c r="AD27" s="3131"/>
      <c r="AE27" s="3131"/>
      <c r="AF27" s="3131"/>
      <c r="AG27" s="3131"/>
      <c r="AH27" s="3131"/>
      <c r="AI27" s="3131"/>
      <c r="AJ27" s="3131"/>
      <c r="AK27" s="1160"/>
      <c r="AL27" s="2254"/>
      <c r="AM27" s="2254"/>
      <c r="AN27" s="2254"/>
      <c r="AO27" s="2254"/>
      <c r="AP27" s="2254"/>
      <c r="AQ27" s="2254"/>
      <c r="AR27" s="2254"/>
      <c r="AS27" s="2254"/>
      <c r="BA27" s="1072">
        <v>14</v>
      </c>
    </row>
    <row r="28" spans="1:53" ht="14.25" hidden="1" customHeight="1">
      <c r="Q28" s="310"/>
      <c r="R28" s="310"/>
      <c r="S28" s="1192"/>
      <c r="T28" s="297"/>
      <c r="U28" s="297"/>
      <c r="V28" s="257"/>
      <c r="W28" s="257"/>
      <c r="X28" s="257"/>
      <c r="Y28" s="257"/>
      <c r="Z28" s="257"/>
      <c r="AA28" s="257"/>
      <c r="AB28" s="257"/>
      <c r="AC28" s="257"/>
      <c r="AD28" s="257"/>
      <c r="AE28" s="257"/>
      <c r="AF28" s="257"/>
      <c r="AG28" s="257"/>
      <c r="AH28" s="257"/>
      <c r="AI28" s="257"/>
      <c r="AJ28" s="257"/>
      <c r="AK28" s="257"/>
      <c r="AL28" s="2255"/>
      <c r="AM28" s="2255"/>
      <c r="AN28" s="2255"/>
      <c r="AO28" s="2255"/>
      <c r="AP28" s="2255"/>
      <c r="AQ28" s="2255"/>
      <c r="AR28" s="2255"/>
      <c r="AS28" s="2255"/>
      <c r="AT28" s="443"/>
      <c r="BA28" s="1072">
        <v>0</v>
      </c>
    </row>
    <row r="29" spans="1:53" s="2028" customFormat="1" ht="25.5" hidden="1" customHeight="1">
      <c r="A29" s="1285"/>
      <c r="B29" s="1285"/>
      <c r="C29" s="1285"/>
      <c r="D29" s="1285"/>
      <c r="E29" s="1285"/>
      <c r="F29" s="1285"/>
      <c r="G29" s="1285"/>
      <c r="H29" s="1285"/>
      <c r="I29" s="1285"/>
      <c r="J29" s="1285"/>
      <c r="K29" s="1285"/>
      <c r="L29" s="1286"/>
      <c r="M29" s="1285"/>
      <c r="N29" s="1285"/>
      <c r="O29" s="1285"/>
      <c r="S29" s="3191" t="s">
        <v>42</v>
      </c>
      <c r="T29" s="3191"/>
      <c r="U29" s="1289"/>
      <c r="V29" s="3192" t="str">
        <f>IF(TITLE_NAME_OR_PR_CHANGE="",IF(TITLE_NAME_OR_PR="","",TITLE_NAME_OR_PR),TITLE_NAME_OR_PR_CHANGE)</f>
        <v/>
      </c>
      <c r="W29" s="3192"/>
      <c r="X29" s="3192"/>
      <c r="Y29" s="3192"/>
      <c r="Z29" s="3192"/>
      <c r="AA29" s="3192"/>
      <c r="AB29" s="3192"/>
      <c r="AC29" s="261"/>
      <c r="AD29" s="3192" t="str">
        <f>IF(TITLE_NAME_OR_PR_CHANGE="",IF(TITLE_NAME_OR_PR="","",TITLE_NAME_OR_PR),TITLE_NAME_OR_PR_CHANGE)</f>
        <v/>
      </c>
      <c r="AE29" s="3192"/>
      <c r="AF29" s="3192"/>
      <c r="AG29" s="3192"/>
      <c r="AH29" s="3192"/>
      <c r="AI29" s="3192"/>
      <c r="AJ29" s="3192"/>
      <c r="AK29" s="261"/>
      <c r="AL29" s="3192" t="str">
        <f>IF(TITLE_NAME_OR_PR_CHANGE="",IF(TITLE_NAME_OR_PR="","",TITLE_NAME_OR_PR),TITLE_NAME_OR_PR_CHANGE)</f>
        <v/>
      </c>
      <c r="AM29" s="3192"/>
      <c r="AN29" s="3192"/>
      <c r="AO29" s="3192"/>
      <c r="AP29" s="3192"/>
      <c r="AQ29" s="3192"/>
      <c r="AR29" s="3192"/>
      <c r="AS29" s="2219"/>
      <c r="AT29" s="261"/>
      <c r="AU29" s="215"/>
      <c r="AV29" s="302"/>
      <c r="AW29" s="302"/>
      <c r="AX29" s="302"/>
      <c r="AY29" s="302"/>
      <c r="AZ29" s="302"/>
      <c r="BA29" s="352">
        <v>0</v>
      </c>
    </row>
    <row r="30" spans="1:53" s="2028" customFormat="1" ht="18.75" hidden="1" customHeight="1">
      <c r="A30" s="1285"/>
      <c r="B30" s="1285"/>
      <c r="C30" s="1285"/>
      <c r="D30" s="1285"/>
      <c r="E30" s="1285"/>
      <c r="F30" s="1285"/>
      <c r="G30" s="1285"/>
      <c r="H30" s="1285"/>
      <c r="I30" s="1285"/>
      <c r="J30" s="1285"/>
      <c r="K30" s="1285"/>
      <c r="L30" s="1286"/>
      <c r="M30" s="1285"/>
      <c r="N30" s="1285"/>
      <c r="O30" s="1285"/>
      <c r="S30" s="3191" t="s">
        <v>455</v>
      </c>
      <c r="T30" s="3191"/>
      <c r="U30" s="1289"/>
      <c r="V30" s="3201">
        <f>IF(TITLE_DATE_PR_CHANGE="",IF(TITLE_DATE_PR="","",TITLE_DATE_PR),TITLE_DATE_PR_CHANGE)</f>
        <v>45408</v>
      </c>
      <c r="W30" s="3201"/>
      <c r="X30" s="3201"/>
      <c r="Y30" s="3201"/>
      <c r="Z30" s="3201"/>
      <c r="AA30" s="3201"/>
      <c r="AB30" s="3201"/>
      <c r="AC30" s="261"/>
      <c r="AD30" s="3201">
        <f>IF(TITLE_DATE_PR_CHANGE="",IF(TITLE_DATE_PR="","",TITLE_DATE_PR),TITLE_DATE_PR_CHANGE)</f>
        <v>45408</v>
      </c>
      <c r="AE30" s="3201"/>
      <c r="AF30" s="3201"/>
      <c r="AG30" s="3201"/>
      <c r="AH30" s="3201"/>
      <c r="AI30" s="3201"/>
      <c r="AJ30" s="3201"/>
      <c r="AK30" s="261"/>
      <c r="AL30" s="3201">
        <f>IF(TITLE_DATE_PR_CHANGE="",IF(TITLE_DATE_PR="","",TITLE_DATE_PR),TITLE_DATE_PR_CHANGE)</f>
        <v>45408</v>
      </c>
      <c r="AM30" s="3201"/>
      <c r="AN30" s="3201"/>
      <c r="AO30" s="3201"/>
      <c r="AP30" s="3201"/>
      <c r="AQ30" s="3201"/>
      <c r="AR30" s="3201"/>
      <c r="AS30" s="2219"/>
      <c r="AT30" s="261"/>
      <c r="AU30" s="215"/>
      <c r="AV30" s="302"/>
      <c r="AW30" s="302"/>
      <c r="AX30" s="302"/>
      <c r="AY30" s="302"/>
      <c r="AZ30" s="302"/>
      <c r="BA30" s="352">
        <v>0</v>
      </c>
    </row>
    <row r="31" spans="1:53" s="2028" customFormat="1" ht="18.75" hidden="1" customHeight="1">
      <c r="A31" s="1285"/>
      <c r="B31" s="1285"/>
      <c r="C31" s="1285"/>
      <c r="D31" s="1285"/>
      <c r="E31" s="1285"/>
      <c r="F31" s="1285"/>
      <c r="G31" s="1285"/>
      <c r="H31" s="1285"/>
      <c r="I31" s="1285"/>
      <c r="J31" s="1285"/>
      <c r="K31" s="1285"/>
      <c r="L31" s="1286"/>
      <c r="M31" s="1285"/>
      <c r="N31" s="1285"/>
      <c r="O31" s="1285"/>
      <c r="S31" s="3191" t="s">
        <v>456</v>
      </c>
      <c r="T31" s="3191"/>
      <c r="U31" s="1289"/>
      <c r="V31" s="3192" t="str">
        <f>IF(TITLE_NUMBER_PR_CHANGE="",IF(TITLE_NUMBER_PR="","",TITLE_NUMBER_PR),TITLE_NUMBER_PR_CHANGE)</f>
        <v>04-24/132, 04-24/131</v>
      </c>
      <c r="W31" s="3192"/>
      <c r="X31" s="3192"/>
      <c r="Y31" s="3192"/>
      <c r="Z31" s="3192"/>
      <c r="AA31" s="3192"/>
      <c r="AB31" s="3192"/>
      <c r="AC31" s="261"/>
      <c r="AD31" s="3192" t="str">
        <f>IF(TITLE_NUMBER_PR_CHANGE="",IF(TITLE_NUMBER_PR="","",TITLE_NUMBER_PR),TITLE_NUMBER_PR_CHANGE)</f>
        <v>04-24/132, 04-24/131</v>
      </c>
      <c r="AE31" s="3192"/>
      <c r="AF31" s="3192"/>
      <c r="AG31" s="3192"/>
      <c r="AH31" s="3192"/>
      <c r="AI31" s="3192"/>
      <c r="AJ31" s="3192"/>
      <c r="AK31" s="261"/>
      <c r="AL31" s="3192" t="str">
        <f>IF(TITLE_NUMBER_PR_CHANGE="",IF(TITLE_NUMBER_PR="","",TITLE_NUMBER_PR),TITLE_NUMBER_PR_CHANGE)</f>
        <v>04-24/132, 04-24/131</v>
      </c>
      <c r="AM31" s="3192"/>
      <c r="AN31" s="3192"/>
      <c r="AO31" s="3192"/>
      <c r="AP31" s="3192"/>
      <c r="AQ31" s="3192"/>
      <c r="AR31" s="3192"/>
      <c r="AS31" s="2219"/>
      <c r="AT31" s="261"/>
      <c r="AU31" s="215"/>
      <c r="AV31" s="302"/>
      <c r="AW31" s="302"/>
      <c r="AX31" s="302"/>
      <c r="AY31" s="302"/>
      <c r="AZ31" s="302"/>
      <c r="BA31" s="352">
        <v>0</v>
      </c>
    </row>
    <row r="32" spans="1:53" s="2028" customFormat="1" ht="18.75" hidden="1" customHeight="1">
      <c r="A32" s="1285"/>
      <c r="B32" s="1285"/>
      <c r="C32" s="1285"/>
      <c r="D32" s="1285"/>
      <c r="E32" s="1285"/>
      <c r="F32" s="1285"/>
      <c r="G32" s="1285"/>
      <c r="H32" s="1285"/>
      <c r="I32" s="1285"/>
      <c r="J32" s="1285"/>
      <c r="K32" s="1285"/>
      <c r="L32" s="1286"/>
      <c r="M32" s="1285"/>
      <c r="N32" s="1285"/>
      <c r="O32" s="1285"/>
      <c r="S32" s="3191" t="s">
        <v>43</v>
      </c>
      <c r="T32" s="3191"/>
      <c r="U32" s="1289"/>
      <c r="V32" s="3192" t="str">
        <f>IF(TITLE_IST_PUB_CHANGE="",IF(TITLE_IST_PUB="","",TITLE_IST_PUB),TITLE_IST_PUB_CHANGE)</f>
        <v/>
      </c>
      <c r="W32" s="3192"/>
      <c r="X32" s="3192"/>
      <c r="Y32" s="3192"/>
      <c r="Z32" s="3192"/>
      <c r="AA32" s="3192"/>
      <c r="AB32" s="3192"/>
      <c r="AC32" s="261"/>
      <c r="AD32" s="3192" t="str">
        <f>IF(TITLE_IST_PUB_CHANGE="",IF(TITLE_IST_PUB="","",TITLE_IST_PUB),TITLE_IST_PUB_CHANGE)</f>
        <v/>
      </c>
      <c r="AE32" s="3192"/>
      <c r="AF32" s="3192"/>
      <c r="AG32" s="3192"/>
      <c r="AH32" s="3192"/>
      <c r="AI32" s="3192"/>
      <c r="AJ32" s="3192"/>
      <c r="AK32" s="261"/>
      <c r="AL32" s="3192" t="str">
        <f>IF(TITLE_IST_PUB_CHANGE="",IF(TITLE_IST_PUB="","",TITLE_IST_PUB),TITLE_IST_PUB_CHANGE)</f>
        <v/>
      </c>
      <c r="AM32" s="3192"/>
      <c r="AN32" s="3192"/>
      <c r="AO32" s="3192"/>
      <c r="AP32" s="3192"/>
      <c r="AQ32" s="3192"/>
      <c r="AR32" s="3192"/>
      <c r="AS32" s="2219"/>
      <c r="AT32" s="261"/>
      <c r="AU32" s="215"/>
      <c r="AV32" s="302"/>
      <c r="AW32" s="302"/>
      <c r="AX32" s="302"/>
      <c r="AY32" s="302"/>
      <c r="AZ32" s="302"/>
      <c r="BA32" s="352">
        <v>0</v>
      </c>
    </row>
    <row r="33" spans="1:53" ht="14.25" customHeight="1">
      <c r="Q33" s="310"/>
      <c r="R33" s="310"/>
      <c r="S33" s="1192"/>
      <c r="T33" s="297"/>
      <c r="U33" s="297"/>
      <c r="V33" s="257"/>
      <c r="W33" s="257"/>
      <c r="X33" s="257"/>
      <c r="Y33" s="257"/>
      <c r="Z33" s="257"/>
      <c r="AA33" s="257"/>
      <c r="AB33" s="257"/>
      <c r="AC33" s="257"/>
      <c r="AD33" s="257"/>
      <c r="AE33" s="257"/>
      <c r="AF33" s="257"/>
      <c r="AG33" s="257"/>
      <c r="AH33" s="257"/>
      <c r="AI33" s="257"/>
      <c r="AJ33" s="257"/>
      <c r="AK33" s="257"/>
      <c r="AL33" s="2255"/>
      <c r="AM33" s="2255"/>
      <c r="AN33" s="2255"/>
      <c r="AO33" s="2255"/>
      <c r="AP33" s="2255"/>
      <c r="AQ33" s="2255"/>
      <c r="AR33" s="2255"/>
      <c r="AS33" s="2255"/>
      <c r="AT33" s="443"/>
      <c r="BA33" s="1072">
        <v>0</v>
      </c>
    </row>
    <row r="34" spans="1:53" s="2028" customFormat="1" ht="18.75" customHeight="1">
      <c r="A34" s="1285"/>
      <c r="B34" s="1285"/>
      <c r="C34" s="1285"/>
      <c r="D34" s="1285"/>
      <c r="E34" s="1285"/>
      <c r="F34" s="1285"/>
      <c r="G34" s="1285"/>
      <c r="H34" s="1285"/>
      <c r="I34" s="1285"/>
      <c r="J34" s="1285"/>
      <c r="K34" s="1285"/>
      <c r="L34" s="1286"/>
      <c r="M34" s="1285"/>
      <c r="N34" s="1285"/>
      <c r="O34" s="1285"/>
      <c r="S34" s="3191" t="s">
        <v>457</v>
      </c>
      <c r="T34" s="3191"/>
      <c r="U34" s="1289"/>
      <c r="V34" s="3201">
        <f>IF(TITLE_DATE_PR_CHANGE="",IF(TITLE_DATE_PR="","",TITLE_DATE_PR),TITLE_DATE_PR_CHANGE)</f>
        <v>45408</v>
      </c>
      <c r="W34" s="3201"/>
      <c r="X34" s="3201"/>
      <c r="Y34" s="3201"/>
      <c r="Z34" s="3201"/>
      <c r="AA34" s="3201"/>
      <c r="AB34" s="3201"/>
      <c r="AC34" s="261"/>
      <c r="AD34" s="3201">
        <f>IF(TITLE_DATE_PR_CHANGE="",IF(TITLE_DATE_PR="","",TITLE_DATE_PR),TITLE_DATE_PR_CHANGE)</f>
        <v>45408</v>
      </c>
      <c r="AE34" s="3201"/>
      <c r="AF34" s="3201"/>
      <c r="AG34" s="3201"/>
      <c r="AH34" s="3201"/>
      <c r="AI34" s="3201"/>
      <c r="AJ34" s="3201"/>
      <c r="AK34" s="261"/>
      <c r="AL34" s="3201">
        <f>IF(TITLE_DATE_PR_CHANGE="",IF(TITLE_DATE_PR="","",TITLE_DATE_PR),TITLE_DATE_PR_CHANGE)</f>
        <v>45408</v>
      </c>
      <c r="AM34" s="3201"/>
      <c r="AN34" s="3201"/>
      <c r="AO34" s="3201"/>
      <c r="AP34" s="3201"/>
      <c r="AQ34" s="3201"/>
      <c r="AR34" s="3201"/>
      <c r="AS34" s="2219"/>
      <c r="AT34" s="261"/>
      <c r="AU34" s="215"/>
      <c r="AV34" s="302"/>
      <c r="AW34" s="302"/>
      <c r="AX34" s="302"/>
      <c r="AY34" s="302"/>
      <c r="AZ34" s="302"/>
      <c r="BA34" s="352">
        <v>0</v>
      </c>
    </row>
    <row r="35" spans="1:53" s="2028" customFormat="1" ht="18.75" customHeight="1">
      <c r="A35" s="1285"/>
      <c r="B35" s="1285"/>
      <c r="C35" s="1285"/>
      <c r="D35" s="1285"/>
      <c r="E35" s="1285"/>
      <c r="F35" s="1285"/>
      <c r="G35" s="1285"/>
      <c r="H35" s="1285"/>
      <c r="I35" s="1285"/>
      <c r="J35" s="1285"/>
      <c r="K35" s="1285"/>
      <c r="L35" s="1286"/>
      <c r="M35" s="1285"/>
      <c r="N35" s="1285"/>
      <c r="O35" s="1285"/>
      <c r="S35" s="3191" t="s">
        <v>458</v>
      </c>
      <c r="T35" s="3191"/>
      <c r="U35" s="1289"/>
      <c r="V35" s="3192" t="str">
        <f>IF(TITLE_NUMBER_PR_CHANGE="",IF(TITLE_NUMBER_PR="","",TITLE_NUMBER_PR),TITLE_NUMBER_PR_CHANGE)</f>
        <v>04-24/132, 04-24/131</v>
      </c>
      <c r="W35" s="3192"/>
      <c r="X35" s="3192"/>
      <c r="Y35" s="3192"/>
      <c r="Z35" s="3192"/>
      <c r="AA35" s="3192"/>
      <c r="AB35" s="3192"/>
      <c r="AC35" s="261"/>
      <c r="AD35" s="3192" t="str">
        <f>IF(TITLE_NUMBER_PR_CHANGE="",IF(TITLE_NUMBER_PR="","",TITLE_NUMBER_PR),TITLE_NUMBER_PR_CHANGE)</f>
        <v>04-24/132, 04-24/131</v>
      </c>
      <c r="AE35" s="3192"/>
      <c r="AF35" s="3192"/>
      <c r="AG35" s="3192"/>
      <c r="AH35" s="3192"/>
      <c r="AI35" s="3192"/>
      <c r="AJ35" s="3192"/>
      <c r="AK35" s="261"/>
      <c r="AL35" s="3192" t="str">
        <f>IF(TITLE_NUMBER_PR_CHANGE="",IF(TITLE_NUMBER_PR="","",TITLE_NUMBER_PR),TITLE_NUMBER_PR_CHANGE)</f>
        <v>04-24/132, 04-24/131</v>
      </c>
      <c r="AM35" s="3192"/>
      <c r="AN35" s="3192"/>
      <c r="AO35" s="3192"/>
      <c r="AP35" s="3192"/>
      <c r="AQ35" s="3192"/>
      <c r="AR35" s="3192"/>
      <c r="AS35" s="2219"/>
      <c r="AT35" s="261"/>
      <c r="AU35" s="215"/>
      <c r="AV35" s="302"/>
      <c r="AW35" s="302"/>
      <c r="AX35" s="302"/>
      <c r="AY35" s="302"/>
      <c r="AZ35" s="302"/>
      <c r="BA35" s="352">
        <v>0</v>
      </c>
    </row>
    <row r="36" spans="1:53" s="2028" customFormat="1" ht="0" hidden="1" customHeight="1">
      <c r="A36" s="1285"/>
      <c r="B36" s="1285"/>
      <c r="C36" s="1285"/>
      <c r="D36" s="1285"/>
      <c r="E36" s="1285"/>
      <c r="F36" s="1285"/>
      <c r="G36" s="1285"/>
      <c r="H36" s="1285"/>
      <c r="I36" s="1285"/>
      <c r="J36" s="1285"/>
      <c r="K36" s="1285"/>
      <c r="L36" s="1286"/>
      <c r="M36" s="1285"/>
      <c r="N36" s="1285"/>
      <c r="O36" s="1285"/>
      <c r="S36" s="258"/>
      <c r="T36" s="258"/>
      <c r="U36" s="1257"/>
      <c r="V36" s="261"/>
      <c r="W36" s="261"/>
      <c r="X36" s="261"/>
      <c r="Y36" s="261"/>
      <c r="Z36" s="261"/>
      <c r="AA36" s="261"/>
      <c r="AB36" s="261"/>
      <c r="AC36" s="213" t="s">
        <v>459</v>
      </c>
      <c r="AD36" s="261"/>
      <c r="AE36" s="261"/>
      <c r="AF36" s="261"/>
      <c r="AG36" s="261"/>
      <c r="AH36" s="261"/>
      <c r="AI36" s="261"/>
      <c r="AJ36" s="261"/>
      <c r="AK36" s="213" t="s">
        <v>459</v>
      </c>
      <c r="AL36" s="2219"/>
      <c r="AM36" s="2219"/>
      <c r="AN36" s="2219"/>
      <c r="AO36" s="2219"/>
      <c r="AP36" s="2219"/>
      <c r="AQ36" s="2219"/>
      <c r="AR36" s="2219"/>
      <c r="AS36" s="2256" t="s">
        <v>459</v>
      </c>
      <c r="AV36" s="302"/>
      <c r="AW36" s="302"/>
      <c r="AX36" s="302"/>
      <c r="AY36" s="302"/>
      <c r="AZ36" s="302"/>
      <c r="BA36" s="352">
        <v>0</v>
      </c>
    </row>
    <row r="37" spans="1:53" ht="14.65" customHeight="1">
      <c r="Q37" s="310"/>
      <c r="R37" s="310"/>
      <c r="S37" s="1192"/>
      <c r="T37" s="297"/>
      <c r="U37" s="1161"/>
      <c r="V37" s="3193"/>
      <c r="W37" s="3193"/>
      <c r="X37" s="3193"/>
      <c r="Y37" s="3193"/>
      <c r="Z37" s="3193"/>
      <c r="AA37" s="3193"/>
      <c r="AB37" s="3193"/>
      <c r="AC37" s="3193"/>
      <c r="AD37" s="3193"/>
      <c r="AE37" s="3193"/>
      <c r="AF37" s="3193"/>
      <c r="AG37" s="3193"/>
      <c r="AH37" s="3193"/>
      <c r="AI37" s="3193"/>
      <c r="AJ37" s="3193"/>
      <c r="AK37" s="3193"/>
      <c r="AL37" s="3193" t="s">
        <v>105</v>
      </c>
      <c r="AM37" s="3193"/>
      <c r="AN37" s="3193"/>
      <c r="AO37" s="3193"/>
      <c r="AP37" s="3193"/>
      <c r="AQ37" s="3193"/>
      <c r="AR37" s="3193"/>
      <c r="AS37" s="3193"/>
      <c r="BA37" s="1072">
        <v>14</v>
      </c>
    </row>
    <row r="38" spans="1:53" ht="14.65" customHeight="1">
      <c r="Q38" s="310"/>
      <c r="R38" s="310"/>
      <c r="S38" s="3067" t="s">
        <v>335</v>
      </c>
      <c r="T38" s="3067"/>
      <c r="U38" s="3067"/>
      <c r="V38" s="3067"/>
      <c r="W38" s="3067"/>
      <c r="X38" s="3067"/>
      <c r="Y38" s="3067"/>
      <c r="Z38" s="3067"/>
      <c r="AA38" s="3067"/>
      <c r="AB38" s="3067"/>
      <c r="AC38" s="3067"/>
      <c r="AD38" s="3067"/>
      <c r="AE38" s="3067"/>
      <c r="AF38" s="3067"/>
      <c r="AG38" s="3067"/>
      <c r="AH38" s="3067"/>
      <c r="AI38" s="3067"/>
      <c r="AJ38" s="3067"/>
      <c r="AK38" s="3067"/>
      <c r="AL38" s="3067" t="s">
        <v>335</v>
      </c>
      <c r="AM38" s="3067"/>
      <c r="AN38" s="3067"/>
      <c r="AO38" s="3067"/>
      <c r="AP38" s="3067"/>
      <c r="AQ38" s="3067"/>
      <c r="AR38" s="3067"/>
      <c r="AS38" s="3067"/>
      <c r="AT38" s="3067"/>
      <c r="AU38" s="3067"/>
      <c r="BA38" s="1072"/>
    </row>
    <row r="39" spans="1:53" ht="14.65" customHeight="1">
      <c r="Q39" s="310"/>
      <c r="R39" s="310"/>
      <c r="S39" s="3207" t="s">
        <v>89</v>
      </c>
      <c r="T39" s="3159" t="s">
        <v>460</v>
      </c>
      <c r="U39" s="236"/>
      <c r="V39" s="3208" t="s">
        <v>461</v>
      </c>
      <c r="W39" s="3209"/>
      <c r="X39" s="3209"/>
      <c r="Y39" s="3209"/>
      <c r="Z39" s="3209"/>
      <c r="AA39" s="3209"/>
      <c r="AB39" s="3210"/>
      <c r="AC39" s="3211" t="s">
        <v>462</v>
      </c>
      <c r="AD39" s="3208" t="s">
        <v>461</v>
      </c>
      <c r="AE39" s="3209"/>
      <c r="AF39" s="3209"/>
      <c r="AG39" s="3209"/>
      <c r="AH39" s="3209"/>
      <c r="AI39" s="3209"/>
      <c r="AJ39" s="3210"/>
      <c r="AK39" s="3211" t="s">
        <v>463</v>
      </c>
      <c r="AL39" s="3208" t="s">
        <v>461</v>
      </c>
      <c r="AM39" s="3209"/>
      <c r="AN39" s="3209"/>
      <c r="AO39" s="3209"/>
      <c r="AP39" s="3209"/>
      <c r="AQ39" s="3209"/>
      <c r="AR39" s="3210"/>
      <c r="AS39" s="3211" t="s">
        <v>462</v>
      </c>
      <c r="AT39" s="3214" t="s">
        <v>464</v>
      </c>
      <c r="AU39" s="3067"/>
      <c r="BA39" s="1072">
        <v>14</v>
      </c>
    </row>
    <row r="40" spans="1:53" ht="35.65" customHeight="1">
      <c r="Q40" s="310"/>
      <c r="R40" s="310"/>
      <c r="S40" s="3207"/>
      <c r="T40" s="3159"/>
      <c r="U40" s="952"/>
      <c r="V40" s="3130" t="s">
        <v>465</v>
      </c>
      <c r="W40" s="3217"/>
      <c r="X40" s="3038" t="s">
        <v>467</v>
      </c>
      <c r="Y40" s="3037"/>
      <c r="Z40" s="3038" t="s">
        <v>468</v>
      </c>
      <c r="AA40" s="3044"/>
      <c r="AB40" s="3037"/>
      <c r="AC40" s="3212"/>
      <c r="AD40" s="3130" t="s">
        <v>483</v>
      </c>
      <c r="AE40" s="3217"/>
      <c r="AF40" s="3038" t="s">
        <v>467</v>
      </c>
      <c r="AG40" s="3037"/>
      <c r="AH40" s="3038" t="s">
        <v>468</v>
      </c>
      <c r="AI40" s="3044"/>
      <c r="AJ40" s="3037"/>
      <c r="AK40" s="3212"/>
      <c r="AL40" s="3130" t="s">
        <v>465</v>
      </c>
      <c r="AM40" s="3217"/>
      <c r="AN40" s="3038" t="s">
        <v>467</v>
      </c>
      <c r="AO40" s="3037"/>
      <c r="AP40" s="3038" t="s">
        <v>468</v>
      </c>
      <c r="AQ40" s="3044"/>
      <c r="AR40" s="3037"/>
      <c r="AS40" s="3212"/>
      <c r="AT40" s="3215"/>
      <c r="AU40" s="3067"/>
      <c r="BA40" s="1072">
        <v>34</v>
      </c>
    </row>
    <row r="41" spans="1:53" ht="35.65" customHeight="1">
      <c r="A41" s="1287"/>
      <c r="B41" s="1287" t="s">
        <v>149</v>
      </c>
      <c r="C41" s="1287" t="s">
        <v>150</v>
      </c>
      <c r="D41" s="1287" t="s">
        <v>151</v>
      </c>
      <c r="E41" s="1281" t="s">
        <v>469</v>
      </c>
      <c r="F41" s="1281" t="s">
        <v>470</v>
      </c>
      <c r="G41" s="1281" t="s">
        <v>471</v>
      </c>
      <c r="H41" s="1281" t="s">
        <v>472</v>
      </c>
      <c r="I41" s="1281" t="s">
        <v>473</v>
      </c>
      <c r="J41" s="1281" t="s">
        <v>474</v>
      </c>
      <c r="K41" s="1281" t="s">
        <v>475</v>
      </c>
      <c r="L41" s="1281" t="s">
        <v>450</v>
      </c>
      <c r="Q41" s="310"/>
      <c r="R41" s="310"/>
      <c r="S41" s="3207"/>
      <c r="T41" s="3159"/>
      <c r="U41" s="237"/>
      <c r="V41" s="3178"/>
      <c r="W41" s="3218"/>
      <c r="X41" s="1139" t="s">
        <v>476</v>
      </c>
      <c r="Y41" s="1139" t="s">
        <v>477</v>
      </c>
      <c r="Z41" s="1255" t="s">
        <v>478</v>
      </c>
      <c r="AA41" s="3167" t="s">
        <v>479</v>
      </c>
      <c r="AB41" s="3169"/>
      <c r="AC41" s="3213"/>
      <c r="AD41" s="3178"/>
      <c r="AE41" s="3218"/>
      <c r="AF41" s="1139" t="s">
        <v>476</v>
      </c>
      <c r="AG41" s="1139" t="s">
        <v>477</v>
      </c>
      <c r="AH41" s="1255" t="s">
        <v>478</v>
      </c>
      <c r="AI41" s="3167" t="s">
        <v>479</v>
      </c>
      <c r="AJ41" s="3169"/>
      <c r="AK41" s="3213"/>
      <c r="AL41" s="3178"/>
      <c r="AM41" s="3218"/>
      <c r="AN41" s="2257" t="s">
        <v>476</v>
      </c>
      <c r="AO41" s="2257" t="s">
        <v>477</v>
      </c>
      <c r="AP41" s="2257" t="s">
        <v>478</v>
      </c>
      <c r="AQ41" s="3167" t="s">
        <v>479</v>
      </c>
      <c r="AR41" s="3169"/>
      <c r="AS41" s="3213"/>
      <c r="AT41" s="3216"/>
      <c r="AU41" s="3067"/>
      <c r="BA41" s="1072">
        <v>34</v>
      </c>
    </row>
    <row r="42" spans="1:53" s="2212" customFormat="1" ht="11.25" hidden="1" customHeight="1">
      <c r="A42" s="1287"/>
      <c r="B42" s="1287"/>
      <c r="C42" s="1287"/>
      <c r="D42" s="1287"/>
      <c r="E42" s="1287"/>
      <c r="F42" s="1287"/>
      <c r="G42" s="1287"/>
      <c r="H42" s="1287"/>
      <c r="I42" s="1287"/>
      <c r="J42" s="1287"/>
      <c r="K42" s="1287"/>
      <c r="L42" s="1281"/>
      <c r="M42" s="1279"/>
      <c r="N42" s="1279"/>
      <c r="O42" s="1279"/>
      <c r="P42" s="1163"/>
      <c r="Q42" s="1164"/>
      <c r="R42" s="1171">
        <v>1</v>
      </c>
      <c r="S42" s="1194" t="s">
        <v>124</v>
      </c>
      <c r="T42" s="1172" t="s">
        <v>104</v>
      </c>
      <c r="U42" s="1162" t="str">
        <f ca="1">OFFSET(U42,0,-1)</f>
        <v>2</v>
      </c>
      <c r="V42" s="1252">
        <f ca="1">OFFSET(V42,0,-1)+1</f>
        <v>3</v>
      </c>
      <c r="W42" s="1252"/>
      <c r="X42" s="1252">
        <f ca="1">OFFSET(X42,0,-1)+1</f>
        <v>1</v>
      </c>
      <c r="Y42" s="1252">
        <f ca="1">OFFSET(Y42,0,-1)+1</f>
        <v>2</v>
      </c>
      <c r="Z42" s="1252">
        <f ca="1">OFFSET(Z42,0,-1)+1</f>
        <v>3</v>
      </c>
      <c r="AA42" s="3206">
        <f ca="1">OFFSET(AA42,0,-1)+1</f>
        <v>4</v>
      </c>
      <c r="AB42" s="3206"/>
      <c r="AC42" s="1252">
        <f ca="1">OFFSET(AC42,0,-2)+1</f>
        <v>5</v>
      </c>
      <c r="AD42" s="1252">
        <f ca="1">OFFSET(AD42,0,-1)+1</f>
        <v>6</v>
      </c>
      <c r="AE42" s="1252"/>
      <c r="AF42" s="1252">
        <f ca="1">OFFSET(AF42,0,-1)+1</f>
        <v>1</v>
      </c>
      <c r="AG42" s="1252">
        <f ca="1">OFFSET(AG42,0,-1)+1</f>
        <v>2</v>
      </c>
      <c r="AH42" s="1252">
        <f ca="1">OFFSET(AH42,0,-1)+1</f>
        <v>3</v>
      </c>
      <c r="AI42" s="3206">
        <f ca="1">OFFSET(AI42,0,-1)+1</f>
        <v>4</v>
      </c>
      <c r="AJ42" s="3206"/>
      <c r="AK42" s="1252">
        <f ca="1">OFFSET(AK42,0,-2)+1</f>
        <v>5</v>
      </c>
      <c r="AL42" s="2258">
        <f ca="1">OFFSET(AL42,0,-1)+1</f>
        <v>6</v>
      </c>
      <c r="AM42" s="2258"/>
      <c r="AN42" s="2258">
        <f ca="1">OFFSET(AN42,0,-1)+1</f>
        <v>1</v>
      </c>
      <c r="AO42" s="2258">
        <f ca="1">OFFSET(AO42,0,-1)+1</f>
        <v>2</v>
      </c>
      <c r="AP42" s="2258">
        <f ca="1">OFFSET(AP42,0,-1)+1</f>
        <v>3</v>
      </c>
      <c r="AQ42" s="3206">
        <f ca="1">OFFSET(AQ42,0,-1)+1</f>
        <v>4</v>
      </c>
      <c r="AR42" s="3206"/>
      <c r="AS42" s="2258">
        <f ca="1">OFFSET(AS42,0,-2)+1</f>
        <v>5</v>
      </c>
      <c r="AT42" s="1162">
        <f ca="1">OFFSET(AT42,0,-1)</f>
        <v>5</v>
      </c>
      <c r="AU42" s="1252">
        <f ca="1">OFFSET(AU42,0,-1)+1</f>
        <v>6</v>
      </c>
      <c r="AV42" s="445"/>
      <c r="AW42" s="445"/>
      <c r="AX42" s="445"/>
      <c r="AY42" s="445"/>
      <c r="AZ42" s="445"/>
      <c r="BA42" s="430">
        <v>0</v>
      </c>
    </row>
    <row r="43" spans="1:53" ht="22" customHeight="1">
      <c r="A43" s="1280" t="s">
        <v>217</v>
      </c>
      <c r="B43" s="1280"/>
      <c r="C43" s="1280"/>
      <c r="D43" s="1280"/>
      <c r="E43" s="3199">
        <v>1</v>
      </c>
      <c r="F43" s="1280"/>
      <c r="G43" s="1280"/>
      <c r="H43" s="1280"/>
      <c r="I43" s="1280"/>
      <c r="J43" s="1280"/>
      <c r="K43" s="1280"/>
      <c r="L43" s="1281"/>
      <c r="M43" s="1282"/>
      <c r="N43" s="1282"/>
      <c r="O43" s="1282"/>
      <c r="P43" s="295"/>
      <c r="Q43" s="294"/>
      <c r="R43" s="289"/>
      <c r="S43" s="1253">
        <f>INDEX(PT_DIFFERENTIATION_NUM_NTAR,MATCH(A43,PT_DIFFERENTIATION_NTAR_ID,0))</f>
        <v>1</v>
      </c>
      <c r="T43" s="233" t="s">
        <v>137</v>
      </c>
      <c r="U43" s="235"/>
      <c r="V43" s="3185"/>
      <c r="W43" s="3186"/>
      <c r="X43" s="3186"/>
      <c r="Y43" s="3186"/>
      <c r="Z43" s="3186"/>
      <c r="AA43" s="3186"/>
      <c r="AB43" s="3186"/>
      <c r="AC43" s="3187"/>
      <c r="AD43" s="3185" t="str">
        <f>INDEX(PT_DIFFERENTIATION_NTAR,MATCH(A43,PT_DIFFERENTIATION_NTAR_ID,0))</f>
        <v/>
      </c>
      <c r="AE43" s="3186"/>
      <c r="AF43" s="3186"/>
      <c r="AG43" s="3186"/>
      <c r="AH43" s="3186"/>
      <c r="AI43" s="3186"/>
      <c r="AJ43" s="3186"/>
      <c r="AK43" s="3186"/>
      <c r="AL43" s="3185"/>
      <c r="AM43" s="3186"/>
      <c r="AN43" s="3186"/>
      <c r="AO43" s="3186"/>
      <c r="AP43" s="3186"/>
      <c r="AQ43" s="3186"/>
      <c r="AR43" s="3186"/>
      <c r="AS43" s="3187"/>
      <c r="AT43" s="3187"/>
      <c r="AU43" s="117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W43" s="434"/>
      <c r="AX43" s="434" t="str">
        <f t="shared" ref="AX43:AX57" si="1">IF(T43="","",T43)</f>
        <v>Наименование тарифа</v>
      </c>
      <c r="AY43" s="434"/>
      <c r="AZ43" s="434"/>
      <c r="BA43" s="1072">
        <v>21</v>
      </c>
    </row>
    <row r="44" spans="1:53" ht="22" customHeight="1">
      <c r="A44" s="1280" t="s">
        <v>217</v>
      </c>
      <c r="B44" s="1280" t="s">
        <v>218</v>
      </c>
      <c r="C44" s="1280"/>
      <c r="D44" s="1280"/>
      <c r="E44" s="3200"/>
      <c r="F44" s="3199">
        <v>1</v>
      </c>
      <c r="G44" s="1280"/>
      <c r="H44" s="1280"/>
      <c r="I44" s="1280"/>
      <c r="J44" s="1280"/>
      <c r="K44" s="1280"/>
      <c r="L44" s="1281"/>
      <c r="M44" s="1282"/>
      <c r="N44" s="1282"/>
      <c r="O44" s="1282"/>
      <c r="P44" s="1249"/>
      <c r="Q44" s="286"/>
      <c r="R44" s="287"/>
      <c r="S44" s="1253" t="str">
        <f>INDEX(PT_DIFFERENTIATION_NUM_TER,MATCH(B44,PT_DIFFERENTIATION_TER_ID,0))</f>
        <v>1.1</v>
      </c>
      <c r="T44" s="243" t="s">
        <v>432</v>
      </c>
      <c r="U44" s="235"/>
      <c r="V44" s="3185"/>
      <c r="W44" s="3186"/>
      <c r="X44" s="3186"/>
      <c r="Y44" s="3186"/>
      <c r="Z44" s="3186"/>
      <c r="AA44" s="3186"/>
      <c r="AB44" s="3186"/>
      <c r="AC44" s="3187"/>
      <c r="AD44" s="3185" t="str">
        <f>INDEX(PT_DIFFERENTIATION_TER,MATCH(B44,PT_DIFFERENTIATION_TER_ID,0))</f>
        <v>Территория 4</v>
      </c>
      <c r="AE44" s="3186"/>
      <c r="AF44" s="3186"/>
      <c r="AG44" s="3186"/>
      <c r="AH44" s="3186"/>
      <c r="AI44" s="3186"/>
      <c r="AJ44" s="3186"/>
      <c r="AK44" s="3186"/>
      <c r="AL44" s="3185"/>
      <c r="AM44" s="3186"/>
      <c r="AN44" s="3186"/>
      <c r="AO44" s="3186"/>
      <c r="AP44" s="3186"/>
      <c r="AQ44" s="3186"/>
      <c r="AR44" s="3186"/>
      <c r="AS44" s="3187"/>
      <c r="AT44" s="3187"/>
      <c r="AU44" s="1175" t="s">
        <v>433</v>
      </c>
      <c r="AW44" s="434"/>
      <c r="AX44" s="434" t="str">
        <f t="shared" si="1"/>
        <v>Территория действия тарифа</v>
      </c>
      <c r="AY44" s="434"/>
      <c r="AZ44" s="434"/>
      <c r="BA44" s="1072">
        <v>21</v>
      </c>
    </row>
    <row r="45" spans="1:53" ht="24" customHeight="1">
      <c r="A45" s="1280" t="s">
        <v>217</v>
      </c>
      <c r="B45" s="1280" t="s">
        <v>218</v>
      </c>
      <c r="C45" s="1280" t="s">
        <v>219</v>
      </c>
      <c r="D45" s="1280"/>
      <c r="E45" s="3200"/>
      <c r="F45" s="3200"/>
      <c r="G45" s="3199">
        <v>1</v>
      </c>
      <c r="H45" s="1280"/>
      <c r="I45" s="1280"/>
      <c r="J45" s="1280"/>
      <c r="K45" s="1280"/>
      <c r="L45" s="1281"/>
      <c r="M45" s="1282"/>
      <c r="N45" s="1282"/>
      <c r="O45" s="1282"/>
      <c r="P45" s="288"/>
      <c r="Q45" s="286"/>
      <c r="R45" s="287"/>
      <c r="S45" s="1253" t="str">
        <f>INDEX(PT_DIFFERENTIATION_NUM_CS,MATCH(C45,PT_DIFFERENTIATION_CS_ID,0))</f>
        <v>1.1.1</v>
      </c>
      <c r="T45" s="244" t="s">
        <v>434</v>
      </c>
      <c r="U45" s="235"/>
      <c r="V45" s="3185"/>
      <c r="W45" s="3186"/>
      <c r="X45" s="3186"/>
      <c r="Y45" s="3186"/>
      <c r="Z45" s="3186"/>
      <c r="AA45" s="3186"/>
      <c r="AB45" s="3186"/>
      <c r="AC45" s="3187"/>
      <c r="AD45" s="3185" t="str">
        <f>INDEX(PT_DIFFERENTIATION_CS,MATCH(C45,PT_DIFFERENTIATION_CS_ID,0))</f>
        <v>без дифференциации</v>
      </c>
      <c r="AE45" s="3186"/>
      <c r="AF45" s="3186"/>
      <c r="AG45" s="3186"/>
      <c r="AH45" s="3186"/>
      <c r="AI45" s="3186"/>
      <c r="AJ45" s="3186"/>
      <c r="AK45" s="3186"/>
      <c r="AL45" s="3185"/>
      <c r="AM45" s="3186"/>
      <c r="AN45" s="3186"/>
      <c r="AO45" s="3186"/>
      <c r="AP45" s="3186"/>
      <c r="AQ45" s="3186"/>
      <c r="AR45" s="3186"/>
      <c r="AS45" s="3187"/>
      <c r="AT45" s="3187"/>
      <c r="AU45" s="1175" t="s">
        <v>435</v>
      </c>
      <c r="AW45" s="434"/>
      <c r="AX45" s="434" t="str">
        <f t="shared" si="1"/>
        <v xml:space="preserve">Наименование системы теплоснабжения </v>
      </c>
      <c r="AY45" s="434"/>
      <c r="AZ45" s="434"/>
      <c r="BA45" s="1072">
        <v>23</v>
      </c>
    </row>
    <row r="46" spans="1:53" ht="22" customHeight="1">
      <c r="A46" s="1280" t="s">
        <v>217</v>
      </c>
      <c r="B46" s="1280" t="s">
        <v>218</v>
      </c>
      <c r="C46" s="1280" t="s">
        <v>219</v>
      </c>
      <c r="D46" s="1280" t="s">
        <v>220</v>
      </c>
      <c r="E46" s="3200"/>
      <c r="F46" s="3200"/>
      <c r="G46" s="3200"/>
      <c r="H46" s="3199">
        <v>1</v>
      </c>
      <c r="I46" s="1280"/>
      <c r="J46" s="1280"/>
      <c r="K46" s="1280"/>
      <c r="L46" s="1281"/>
      <c r="M46" s="1282"/>
      <c r="N46" s="1282"/>
      <c r="O46" s="1282"/>
      <c r="P46" s="288"/>
      <c r="Q46" s="286"/>
      <c r="R46" s="287"/>
      <c r="S46" s="1253" t="str">
        <f>INDEX(PT_DIFFERENTIATION_NUM_IST_TE,MATCH(D46,PT_DIFFERENTIATION_IST_TE_ID,0))</f>
        <v>1.1.1.1</v>
      </c>
      <c r="T46" s="245" t="s">
        <v>436</v>
      </c>
      <c r="U46" s="235"/>
      <c r="V46" s="3185"/>
      <c r="W46" s="3186"/>
      <c r="X46" s="3186"/>
      <c r="Y46" s="3186"/>
      <c r="Z46" s="3186"/>
      <c r="AA46" s="3186"/>
      <c r="AB46" s="3186"/>
      <c r="AC46" s="3187"/>
      <c r="AD46" s="3185" t="str">
        <f>INDEX(PT_DIFFERENTIATION_IST_TE,MATCH(D46,PT_DIFFERENTIATION_IST_TE_ID,0))</f>
        <v>без дифференциации</v>
      </c>
      <c r="AE46" s="3186"/>
      <c r="AF46" s="3186"/>
      <c r="AG46" s="3186"/>
      <c r="AH46" s="3186"/>
      <c r="AI46" s="3186"/>
      <c r="AJ46" s="3186"/>
      <c r="AK46" s="3186"/>
      <c r="AL46" s="3185"/>
      <c r="AM46" s="3186"/>
      <c r="AN46" s="3186"/>
      <c r="AO46" s="3186"/>
      <c r="AP46" s="3186"/>
      <c r="AQ46" s="3186"/>
      <c r="AR46" s="3186"/>
      <c r="AS46" s="3187"/>
      <c r="AT46" s="3187"/>
      <c r="AU46" s="1175" t="s">
        <v>437</v>
      </c>
      <c r="AW46" s="434"/>
      <c r="AX46" s="434" t="str">
        <f t="shared" si="1"/>
        <v xml:space="preserve">Источник тепловой энергии  </v>
      </c>
      <c r="AY46" s="434"/>
      <c r="AZ46" s="434"/>
      <c r="BA46" s="1072">
        <v>21</v>
      </c>
    </row>
    <row r="47" spans="1:53" s="2017" customFormat="1" ht="0" hidden="1" customHeight="1">
      <c r="A47" s="1260" t="s">
        <v>217</v>
      </c>
      <c r="B47" s="1260" t="s">
        <v>218</v>
      </c>
      <c r="C47" s="1260" t="s">
        <v>219</v>
      </c>
      <c r="D47" s="1260" t="s">
        <v>220</v>
      </c>
      <c r="E47" s="3200"/>
      <c r="F47" s="3200"/>
      <c r="G47" s="3200"/>
      <c r="H47" s="3200"/>
      <c r="I47" s="3197" t="str">
        <f>S46&amp;".1"</f>
        <v>1.1.1.1.1</v>
      </c>
      <c r="J47" s="1260"/>
      <c r="K47" s="1260"/>
      <c r="L47" s="1263" t="s">
        <v>438</v>
      </c>
      <c r="M47" s="444"/>
      <c r="N47" s="444"/>
      <c r="O47" s="444"/>
      <c r="P47" s="3198">
        <v>1</v>
      </c>
      <c r="Q47" s="1248"/>
      <c r="R47" s="290"/>
      <c r="S47" s="963"/>
      <c r="T47" s="1300"/>
      <c r="U47" s="1301"/>
      <c r="V47" s="3228"/>
      <c r="W47" s="3229"/>
      <c r="X47" s="3229"/>
      <c r="Y47" s="3229"/>
      <c r="Z47" s="3229"/>
      <c r="AA47" s="3229"/>
      <c r="AB47" s="3229"/>
      <c r="AC47" s="3230"/>
      <c r="AD47" s="3228"/>
      <c r="AE47" s="3229"/>
      <c r="AF47" s="3229"/>
      <c r="AG47" s="3229"/>
      <c r="AH47" s="3229"/>
      <c r="AI47" s="3229"/>
      <c r="AJ47" s="3229"/>
      <c r="AK47" s="3229"/>
      <c r="AL47" s="3228"/>
      <c r="AM47" s="3229"/>
      <c r="AN47" s="3229"/>
      <c r="AO47" s="3229"/>
      <c r="AP47" s="3229"/>
      <c r="AQ47" s="3229"/>
      <c r="AR47" s="3229"/>
      <c r="AS47" s="3230"/>
      <c r="AT47" s="3230"/>
      <c r="AU47" s="1302"/>
      <c r="AW47" s="434"/>
      <c r="AX47" s="434" t="str">
        <f t="shared" si="1"/>
        <v/>
      </c>
      <c r="AY47" s="434"/>
      <c r="AZ47" s="434"/>
      <c r="BA47" s="445">
        <v>0</v>
      </c>
    </row>
    <row r="48" spans="1:53" ht="22" customHeight="1">
      <c r="A48" s="1280" t="s">
        <v>217</v>
      </c>
      <c r="B48" s="1280" t="s">
        <v>218</v>
      </c>
      <c r="C48" s="1280" t="s">
        <v>219</v>
      </c>
      <c r="D48" s="1280" t="s">
        <v>220</v>
      </c>
      <c r="E48" s="3200"/>
      <c r="F48" s="3200"/>
      <c r="G48" s="3200"/>
      <c r="H48" s="3200"/>
      <c r="I48" s="3220"/>
      <c r="J48" s="3197" t="str">
        <f>S46&amp;".1"</f>
        <v>1.1.1.1.1</v>
      </c>
      <c r="K48" s="1280"/>
      <c r="L48" s="1281" t="s">
        <v>441</v>
      </c>
      <c r="P48" s="3198"/>
      <c r="Q48" s="3198">
        <v>1</v>
      </c>
      <c r="R48" s="291"/>
      <c r="S48" s="1253" t="str">
        <f>$J48</f>
        <v>1.1.1.1.1</v>
      </c>
      <c r="T48" s="221" t="s">
        <v>442</v>
      </c>
      <c r="U48" s="235"/>
      <c r="V48" s="3188"/>
      <c r="W48" s="3189"/>
      <c r="X48" s="3189"/>
      <c r="Y48" s="3189"/>
      <c r="Z48" s="3189"/>
      <c r="AA48" s="3189"/>
      <c r="AB48" s="3189"/>
      <c r="AC48" s="3190"/>
      <c r="AD48" s="3188" t="s">
        <v>481</v>
      </c>
      <c r="AE48" s="3189"/>
      <c r="AF48" s="3189"/>
      <c r="AG48" s="3189"/>
      <c r="AH48" s="3189"/>
      <c r="AI48" s="3189"/>
      <c r="AJ48" s="3189"/>
      <c r="AK48" s="3189"/>
      <c r="AL48" s="3188"/>
      <c r="AM48" s="3189"/>
      <c r="AN48" s="3189"/>
      <c r="AO48" s="3189"/>
      <c r="AP48" s="3189"/>
      <c r="AQ48" s="3189"/>
      <c r="AR48" s="3189"/>
      <c r="AS48" s="3190"/>
      <c r="AT48" s="3190"/>
      <c r="AU48" s="1175" t="s">
        <v>443</v>
      </c>
      <c r="AW48" s="434"/>
      <c r="AX48" s="434" t="str">
        <f t="shared" si="1"/>
        <v>Группа потребителей</v>
      </c>
      <c r="AY48" s="434"/>
      <c r="AZ48" s="434"/>
      <c r="BA48" s="1072">
        <v>21</v>
      </c>
    </row>
    <row r="49" spans="1:53" ht="22" customHeight="1">
      <c r="A49" s="1280" t="s">
        <v>217</v>
      </c>
      <c r="B49" s="1280" t="s">
        <v>218</v>
      </c>
      <c r="C49" s="1280" t="s">
        <v>219</v>
      </c>
      <c r="D49" s="1280" t="s">
        <v>220</v>
      </c>
      <c r="E49" s="3200"/>
      <c r="F49" s="3200"/>
      <c r="G49" s="3200"/>
      <c r="H49" s="3200"/>
      <c r="I49" s="3220"/>
      <c r="J49" s="3220"/>
      <c r="K49" s="3197" t="str">
        <f>J48&amp;".1"</f>
        <v>1.1.1.1.1.1</v>
      </c>
      <c r="L49" s="1281" t="s">
        <v>444</v>
      </c>
      <c r="P49" s="3198"/>
      <c r="Q49" s="3198"/>
      <c r="R49" s="291">
        <v>1</v>
      </c>
      <c r="S49" s="1253" t="str">
        <f>$K49</f>
        <v>1.1.1.1.1.1</v>
      </c>
      <c r="T49" s="1264" t="s">
        <v>482</v>
      </c>
      <c r="U49" s="235"/>
      <c r="V49" s="685"/>
      <c r="W49" s="260"/>
      <c r="X49" s="685"/>
      <c r="Y49" s="1174"/>
      <c r="Z49" s="3202"/>
      <c r="AA49" s="3048" t="s">
        <v>67</v>
      </c>
      <c r="AB49" s="3202"/>
      <c r="AC49" s="3048" t="s">
        <v>67</v>
      </c>
      <c r="AD49" s="685"/>
      <c r="AE49" s="260"/>
      <c r="AF49" s="685">
        <v>1144.6199999999999</v>
      </c>
      <c r="AG49" s="1174"/>
      <c r="AH49" s="3202">
        <v>45658</v>
      </c>
      <c r="AI49" s="3048" t="s">
        <v>67</v>
      </c>
      <c r="AJ49" s="3221">
        <v>45838</v>
      </c>
      <c r="AK49" s="3048" t="s">
        <v>67</v>
      </c>
      <c r="AL49" s="2220"/>
      <c r="AM49" s="2221"/>
      <c r="AN49" s="2220">
        <v>1144.6199999999999</v>
      </c>
      <c r="AO49" s="2222"/>
      <c r="AP49" s="3202">
        <v>45839</v>
      </c>
      <c r="AQ49" s="3048" t="s">
        <v>67</v>
      </c>
      <c r="AR49" s="3202">
        <v>46022</v>
      </c>
      <c r="AS49" s="3048" t="s">
        <v>67</v>
      </c>
      <c r="AT49" s="1265"/>
      <c r="AU49" s="3194" t="s">
        <v>484</v>
      </c>
      <c r="AV49" s="445" t="e">
        <f ca="1">STRCHECKDATE(V50:AT50)</f>
        <v>#NAME?</v>
      </c>
      <c r="AW49" s="434"/>
      <c r="AX49" s="434" t="str">
        <f t="shared" si="1"/>
        <v>вода</v>
      </c>
      <c r="AY49" s="434"/>
      <c r="AZ49" s="434"/>
      <c r="BA49" s="1072">
        <v>21</v>
      </c>
    </row>
    <row r="50" spans="1:53" ht="1" customHeight="1">
      <c r="A50" s="1280" t="s">
        <v>217</v>
      </c>
      <c r="B50" s="1280" t="s">
        <v>218</v>
      </c>
      <c r="C50" s="1280" t="s">
        <v>219</v>
      </c>
      <c r="D50" s="1280" t="s">
        <v>220</v>
      </c>
      <c r="E50" s="3200"/>
      <c r="F50" s="3200"/>
      <c r="G50" s="3200"/>
      <c r="H50" s="3200"/>
      <c r="I50" s="3220"/>
      <c r="J50" s="3220"/>
      <c r="K50" s="3197"/>
      <c r="L50" s="1281"/>
      <c r="P50" s="3198"/>
      <c r="Q50" s="3198"/>
      <c r="R50" s="291"/>
      <c r="S50" s="1259"/>
      <c r="T50" s="235"/>
      <c r="U50" s="235"/>
      <c r="V50" s="260"/>
      <c r="W50" s="260"/>
      <c r="X50" s="260"/>
      <c r="Y50" s="263" t="str">
        <f>Z49&amp;"-"&amp;AB49</f>
        <v>-</v>
      </c>
      <c r="Z50" s="3203"/>
      <c r="AA50" s="3048"/>
      <c r="AB50" s="3203"/>
      <c r="AC50" s="3048"/>
      <c r="AD50" s="260"/>
      <c r="AE50" s="260"/>
      <c r="AF50" s="260"/>
      <c r="AG50" s="263" t="str">
        <f>AH49&amp;"-"&amp;AJ49</f>
        <v>45658-45838</v>
      </c>
      <c r="AH50" s="3203"/>
      <c r="AI50" s="3048"/>
      <c r="AJ50" s="3222"/>
      <c r="AK50" s="3048"/>
      <c r="AL50" s="2221"/>
      <c r="AM50" s="2221"/>
      <c r="AN50" s="2221"/>
      <c r="AO50" s="2223" t="str">
        <f>AP49&amp;"-"&amp;AR49</f>
        <v>45839-46022</v>
      </c>
      <c r="AP50" s="3203"/>
      <c r="AQ50" s="3048"/>
      <c r="AR50" s="3203"/>
      <c r="AS50" s="3048"/>
      <c r="AT50" s="1266"/>
      <c r="AU50" s="3195"/>
      <c r="AW50" s="434"/>
      <c r="AX50" s="434" t="str">
        <f t="shared" si="1"/>
        <v/>
      </c>
      <c r="AY50" s="434"/>
      <c r="AZ50" s="434"/>
      <c r="BA50" s="1072">
        <v>1</v>
      </c>
    </row>
    <row r="51" spans="1:53" ht="11.5" customHeight="1">
      <c r="A51" s="1280" t="s">
        <v>217</v>
      </c>
      <c r="B51" s="1280" t="s">
        <v>218</v>
      </c>
      <c r="C51" s="1280" t="s">
        <v>219</v>
      </c>
      <c r="D51" s="1280" t="s">
        <v>220</v>
      </c>
      <c r="E51" s="3200"/>
      <c r="F51" s="3200"/>
      <c r="G51" s="3200"/>
      <c r="H51" s="3200"/>
      <c r="I51" s="3220"/>
      <c r="J51" s="3197"/>
      <c r="K51" s="1280"/>
      <c r="L51" s="1281"/>
      <c r="P51" s="3198"/>
      <c r="Q51" s="3198"/>
      <c r="R51" s="290"/>
      <c r="S51" s="1195"/>
      <c r="T51" s="222" t="s">
        <v>446</v>
      </c>
      <c r="U51" s="301"/>
      <c r="V51" s="301"/>
      <c r="W51" s="301"/>
      <c r="X51" s="301"/>
      <c r="Y51" s="301"/>
      <c r="Z51" s="301"/>
      <c r="AA51" s="301"/>
      <c r="AB51" s="301"/>
      <c r="AC51" s="301"/>
      <c r="AD51" s="301"/>
      <c r="AE51" s="301"/>
      <c r="AF51" s="301"/>
      <c r="AG51" s="301"/>
      <c r="AH51" s="301"/>
      <c r="AI51" s="301"/>
      <c r="AJ51" s="301"/>
      <c r="AK51" s="301"/>
      <c r="AL51" s="2712"/>
      <c r="AM51" s="2713"/>
      <c r="AN51" s="2714"/>
      <c r="AO51" s="2715"/>
      <c r="AP51" s="2716"/>
      <c r="AQ51" s="2717"/>
      <c r="AR51" s="2718"/>
      <c r="AS51" s="2719"/>
      <c r="AT51" s="259"/>
      <c r="AU51" s="3196"/>
      <c r="AW51" s="434"/>
      <c r="AX51" s="434" t="str">
        <f t="shared" si="1"/>
        <v>Добавить вид теплоносителя (параметры теплоносителя)</v>
      </c>
      <c r="AY51" s="434"/>
      <c r="AZ51" s="434"/>
      <c r="BA51" s="1072">
        <v>11</v>
      </c>
    </row>
    <row r="52" spans="1:53" ht="11.5" customHeight="1">
      <c r="A52" s="1280" t="s">
        <v>217</v>
      </c>
      <c r="B52" s="1280" t="s">
        <v>218</v>
      </c>
      <c r="C52" s="1280" t="s">
        <v>219</v>
      </c>
      <c r="D52" s="1280" t="s">
        <v>220</v>
      </c>
      <c r="E52" s="3200"/>
      <c r="F52" s="3200"/>
      <c r="G52" s="3200"/>
      <c r="H52" s="3200"/>
      <c r="I52" s="3197"/>
      <c r="J52" s="1280"/>
      <c r="K52" s="1280"/>
      <c r="L52" s="1281"/>
      <c r="P52" s="3198"/>
      <c r="Q52" s="1248"/>
      <c r="R52" s="290"/>
      <c r="S52" s="1195"/>
      <c r="T52" s="299" t="s">
        <v>447</v>
      </c>
      <c r="U52" s="301"/>
      <c r="V52" s="301"/>
      <c r="W52" s="301"/>
      <c r="X52" s="301"/>
      <c r="Y52" s="301"/>
      <c r="Z52" s="301"/>
      <c r="AA52" s="301"/>
      <c r="AB52" s="301"/>
      <c r="AC52" s="300"/>
      <c r="AD52" s="301"/>
      <c r="AE52" s="301"/>
      <c r="AF52" s="301"/>
      <c r="AG52" s="301"/>
      <c r="AH52" s="301"/>
      <c r="AI52" s="301"/>
      <c r="AJ52" s="301"/>
      <c r="AK52" s="300"/>
      <c r="AL52" s="2720"/>
      <c r="AM52" s="2721"/>
      <c r="AN52" s="2722"/>
      <c r="AO52" s="2723"/>
      <c r="AP52" s="2724"/>
      <c r="AQ52" s="2725"/>
      <c r="AR52" s="2726"/>
      <c r="AS52" s="2727"/>
      <c r="AT52" s="301"/>
      <c r="AU52" s="238"/>
      <c r="AW52" s="434"/>
      <c r="AX52" s="434" t="str">
        <f t="shared" si="1"/>
        <v>Добавить группу потребителей</v>
      </c>
      <c r="AY52" s="434"/>
      <c r="AZ52" s="434"/>
      <c r="BA52" s="1072">
        <v>11</v>
      </c>
    </row>
    <row r="53" spans="1:53" ht="0" hidden="1" customHeight="1">
      <c r="A53" s="1280" t="s">
        <v>217</v>
      </c>
      <c r="B53" s="1280" t="s">
        <v>218</v>
      </c>
      <c r="C53" s="1280" t="s">
        <v>219</v>
      </c>
      <c r="D53" s="1280" t="s">
        <v>220</v>
      </c>
      <c r="E53" s="3200"/>
      <c r="F53" s="3200"/>
      <c r="G53" s="3200"/>
      <c r="H53" s="3199"/>
      <c r="I53" s="1280"/>
      <c r="J53" s="1280"/>
      <c r="K53" s="1280"/>
      <c r="L53" s="1281"/>
      <c r="M53" s="1282"/>
      <c r="N53" s="1282"/>
      <c r="O53" s="471"/>
      <c r="P53" s="294"/>
      <c r="Q53" s="309"/>
      <c r="R53" s="289"/>
      <c r="S53" s="1303"/>
      <c r="T53" s="1304"/>
      <c r="U53" s="1305"/>
      <c r="V53" s="1305"/>
      <c r="W53" s="1305"/>
      <c r="X53" s="1305"/>
      <c r="Y53" s="1305"/>
      <c r="Z53" s="1305"/>
      <c r="AA53" s="1305"/>
      <c r="AB53" s="1305"/>
      <c r="AC53" s="1305"/>
      <c r="AD53" s="1305"/>
      <c r="AE53" s="1305"/>
      <c r="AF53" s="1305"/>
      <c r="AG53" s="1305"/>
      <c r="AH53" s="1305"/>
      <c r="AI53" s="1305"/>
      <c r="AJ53" s="1305"/>
      <c r="AK53" s="1305"/>
      <c r="AL53" s="2530"/>
      <c r="AM53" s="2530"/>
      <c r="AN53" s="2530"/>
      <c r="AO53" s="2530"/>
      <c r="AP53" s="2530"/>
      <c r="AQ53" s="2530"/>
      <c r="AR53" s="2530"/>
      <c r="AS53" s="2530"/>
      <c r="AT53" s="1305"/>
      <c r="AU53" s="1306"/>
      <c r="AW53" s="434"/>
      <c r="AX53" s="434" t="str">
        <f t="shared" si="1"/>
        <v/>
      </c>
      <c r="AY53" s="434"/>
      <c r="AZ53" s="434"/>
      <c r="BA53" s="1072">
        <v>0</v>
      </c>
    </row>
    <row r="54" spans="1:53" s="2017" customFormat="1" ht="1" customHeight="1">
      <c r="A54" s="1260" t="s">
        <v>217</v>
      </c>
      <c r="B54" s="1260" t="s">
        <v>218</v>
      </c>
      <c r="C54" s="1260" t="s">
        <v>219</v>
      </c>
      <c r="D54" s="1231"/>
      <c r="E54" s="3200"/>
      <c r="F54" s="3200"/>
      <c r="G54" s="3199"/>
      <c r="H54" s="1231"/>
      <c r="I54" s="1231"/>
      <c r="J54" s="1231"/>
      <c r="K54" s="1231"/>
      <c r="L54" s="1256"/>
      <c r="M54" s="1232"/>
      <c r="N54" s="1232"/>
      <c r="P54" s="1233"/>
      <c r="Q54" s="1234"/>
      <c r="R54" s="1233"/>
      <c r="S54" s="1239"/>
      <c r="T54" s="1242" t="s">
        <v>180</v>
      </c>
      <c r="U54" s="1241"/>
      <c r="V54" s="1241"/>
      <c r="W54" s="1241"/>
      <c r="X54" s="1241"/>
      <c r="Y54" s="1241"/>
      <c r="Z54" s="1241"/>
      <c r="AA54" s="1241"/>
      <c r="AB54" s="1241"/>
      <c r="AC54" s="1241"/>
      <c r="AD54" s="1241"/>
      <c r="AE54" s="1241"/>
      <c r="AF54" s="1241"/>
      <c r="AG54" s="1241"/>
      <c r="AH54" s="1241"/>
      <c r="AI54" s="1241"/>
      <c r="AJ54" s="1241"/>
      <c r="AK54" s="1241"/>
      <c r="AL54" s="2249"/>
      <c r="AM54" s="2249"/>
      <c r="AN54" s="2249"/>
      <c r="AO54" s="2249"/>
      <c r="AP54" s="2249"/>
      <c r="AQ54" s="2249"/>
      <c r="AR54" s="2249"/>
      <c r="AS54" s="2249"/>
      <c r="AT54" s="1241"/>
      <c r="AU54" s="1241"/>
      <c r="AW54" s="717"/>
      <c r="AX54" s="717" t="str">
        <f t="shared" si="1"/>
        <v>Добавить источник для дифференциации</v>
      </c>
      <c r="AY54" s="717"/>
      <c r="AZ54" s="717"/>
      <c r="BA54" s="452">
        <v>1</v>
      </c>
    </row>
    <row r="55" spans="1:53" s="2017" customFormat="1" ht="1" customHeight="1">
      <c r="A55" s="1260" t="s">
        <v>217</v>
      </c>
      <c r="B55" s="1260" t="s">
        <v>218</v>
      </c>
      <c r="C55" s="1231"/>
      <c r="D55" s="1231"/>
      <c r="E55" s="3200"/>
      <c r="F55" s="3199"/>
      <c r="G55" s="1231"/>
      <c r="H55" s="1231"/>
      <c r="I55" s="1231"/>
      <c r="J55" s="1231"/>
      <c r="K55" s="1231"/>
      <c r="L55" s="1256"/>
      <c r="M55" s="1238"/>
      <c r="N55" s="1238"/>
      <c r="P55" s="1233"/>
      <c r="Q55" s="1234"/>
      <c r="R55" s="1233"/>
      <c r="S55" s="1239"/>
      <c r="T55" s="1242" t="s">
        <v>181</v>
      </c>
      <c r="U55" s="1241"/>
      <c r="V55" s="1241"/>
      <c r="W55" s="1241"/>
      <c r="X55" s="1241"/>
      <c r="Y55" s="1241"/>
      <c r="Z55" s="1241"/>
      <c r="AA55" s="1241"/>
      <c r="AB55" s="1241"/>
      <c r="AC55" s="1241"/>
      <c r="AD55" s="1241"/>
      <c r="AE55" s="1241"/>
      <c r="AF55" s="1241"/>
      <c r="AG55" s="1241"/>
      <c r="AH55" s="1241"/>
      <c r="AI55" s="1241"/>
      <c r="AJ55" s="1241"/>
      <c r="AK55" s="1241"/>
      <c r="AL55" s="2249"/>
      <c r="AM55" s="2249"/>
      <c r="AN55" s="2249"/>
      <c r="AO55" s="2249"/>
      <c r="AP55" s="2249"/>
      <c r="AQ55" s="2249"/>
      <c r="AR55" s="2249"/>
      <c r="AS55" s="2249"/>
      <c r="AT55" s="1241"/>
      <c r="AU55" s="1241"/>
      <c r="AW55" s="717"/>
      <c r="AX55" s="717" t="str">
        <f t="shared" si="1"/>
        <v>Добавить централизованную систему для дифференциации</v>
      </c>
      <c r="AY55" s="717"/>
      <c r="AZ55" s="717"/>
      <c r="BA55" s="452">
        <v>1</v>
      </c>
    </row>
    <row r="56" spans="1:53" s="2017" customFormat="1" ht="1" customHeight="1">
      <c r="A56" s="1260" t="s">
        <v>217</v>
      </c>
      <c r="B56" s="1260"/>
      <c r="C56" s="1260"/>
      <c r="D56" s="1260"/>
      <c r="E56" s="3199"/>
      <c r="F56" s="1260"/>
      <c r="G56" s="1260"/>
      <c r="H56" s="1260"/>
      <c r="I56" s="1260"/>
      <c r="J56" s="1260"/>
      <c r="K56" s="1260"/>
      <c r="L56" s="1263"/>
      <c r="M56" s="1238"/>
      <c r="N56" s="1238"/>
      <c r="O56" s="452"/>
      <c r="P56" s="314"/>
      <c r="Q56" s="1261"/>
      <c r="R56" s="314"/>
      <c r="S56" s="1239"/>
      <c r="T56" s="1242" t="s">
        <v>188</v>
      </c>
      <c r="U56" s="1241"/>
      <c r="V56" s="1241"/>
      <c r="W56" s="1241"/>
      <c r="X56" s="1241"/>
      <c r="Y56" s="1241"/>
      <c r="Z56" s="1241"/>
      <c r="AA56" s="1241"/>
      <c r="AB56" s="1241"/>
      <c r="AC56" s="1241"/>
      <c r="AD56" s="1241"/>
      <c r="AE56" s="1241"/>
      <c r="AF56" s="1241"/>
      <c r="AG56" s="1241"/>
      <c r="AH56" s="1241"/>
      <c r="AI56" s="1241"/>
      <c r="AJ56" s="1241"/>
      <c r="AK56" s="1241"/>
      <c r="AL56" s="2249"/>
      <c r="AM56" s="2249"/>
      <c r="AN56" s="2249"/>
      <c r="AO56" s="2249"/>
      <c r="AP56" s="2249"/>
      <c r="AQ56" s="2249"/>
      <c r="AR56" s="2249"/>
      <c r="AS56" s="2249"/>
      <c r="AT56" s="1241"/>
      <c r="AU56" s="1241"/>
      <c r="AW56" s="434"/>
      <c r="AX56" s="434" t="str">
        <f t="shared" si="1"/>
        <v>Добавить территорию для дифференциации</v>
      </c>
      <c r="AY56" s="434"/>
      <c r="AZ56" s="434"/>
      <c r="BA56" s="445">
        <v>1</v>
      </c>
    </row>
    <row r="57" spans="1:53" s="2017" customFormat="1" ht="1" customHeight="1">
      <c r="A57" s="1231"/>
      <c r="B57" s="1231"/>
      <c r="C57" s="1231"/>
      <c r="D57" s="1231"/>
      <c r="E57" s="1260"/>
      <c r="F57" s="1231"/>
      <c r="G57" s="1231"/>
      <c r="H57" s="1231"/>
      <c r="I57" s="1231"/>
      <c r="J57" s="1231"/>
      <c r="K57" s="1231"/>
      <c r="L57" s="1256"/>
      <c r="M57" s="1238"/>
      <c r="N57" s="1238"/>
      <c r="P57" s="1233"/>
      <c r="Q57" s="1234"/>
      <c r="R57" s="1233"/>
      <c r="S57" s="1239"/>
      <c r="T57" s="1242" t="s">
        <v>189</v>
      </c>
      <c r="U57" s="1241"/>
      <c r="V57" s="1241"/>
      <c r="W57" s="1241"/>
      <c r="X57" s="1241"/>
      <c r="Y57" s="1241"/>
      <c r="Z57" s="1241"/>
      <c r="AA57" s="1241"/>
      <c r="AB57" s="1241"/>
      <c r="AC57" s="1241"/>
      <c r="AD57" s="1241"/>
      <c r="AE57" s="1241"/>
      <c r="AF57" s="1241"/>
      <c r="AG57" s="1241"/>
      <c r="AH57" s="1241"/>
      <c r="AI57" s="1241"/>
      <c r="AJ57" s="1241"/>
      <c r="AK57" s="1241"/>
      <c r="AL57" s="2249"/>
      <c r="AM57" s="2249"/>
      <c r="AN57" s="2249"/>
      <c r="AO57" s="2249"/>
      <c r="AP57" s="2249"/>
      <c r="AQ57" s="2249"/>
      <c r="AR57" s="2249"/>
      <c r="AS57" s="2249"/>
      <c r="AT57" s="1241"/>
      <c r="AU57" s="1241"/>
      <c r="AW57" s="717"/>
      <c r="AX57" s="717" t="str">
        <f t="shared" si="1"/>
        <v>Добавить наименование тарифа</v>
      </c>
      <c r="AY57" s="717"/>
      <c r="AZ57" s="717"/>
      <c r="BA57" s="452">
        <v>1</v>
      </c>
    </row>
    <row r="58" spans="1:53" ht="11.5" customHeight="1">
      <c r="M58" s="1077"/>
      <c r="N58" s="1077"/>
      <c r="O58" s="471"/>
      <c r="P58" s="1072"/>
      <c r="Q58" s="1072"/>
      <c r="R58" s="1072"/>
      <c r="S58" s="1072"/>
      <c r="AL58" s="2219"/>
      <c r="AM58" s="2219"/>
      <c r="AN58" s="2219"/>
      <c r="AO58" s="2219"/>
      <c r="AP58" s="2219"/>
      <c r="AQ58" s="2219"/>
      <c r="AR58" s="2219"/>
      <c r="AS58" s="2219"/>
      <c r="AV58" s="1072"/>
      <c r="AW58" s="1072"/>
      <c r="AX58" s="1072"/>
      <c r="AY58" s="1072"/>
      <c r="AZ58" s="1072"/>
      <c r="BA58" s="1072">
        <v>11</v>
      </c>
    </row>
    <row r="59" spans="1:53" ht="23.25" customHeight="1">
      <c r="O59" s="471"/>
      <c r="S59" s="1170"/>
      <c r="T59" s="3219"/>
      <c r="U59" s="3219"/>
      <c r="V59" s="3219"/>
      <c r="W59" s="3219"/>
      <c r="X59" s="3219"/>
      <c r="Y59" s="3219"/>
      <c r="Z59" s="3219"/>
      <c r="AA59" s="3219"/>
      <c r="AB59" s="3219"/>
      <c r="AC59" s="3219"/>
      <c r="AD59" s="3219"/>
      <c r="AE59" s="3219"/>
      <c r="AF59" s="3219"/>
      <c r="AG59" s="3219"/>
      <c r="AH59" s="3219"/>
      <c r="AI59" s="3219"/>
      <c r="AJ59" s="3219"/>
      <c r="AK59" s="3219"/>
      <c r="AL59" s="3219"/>
      <c r="AM59" s="3219"/>
      <c r="AN59" s="3219"/>
      <c r="AO59" s="3219"/>
      <c r="AP59" s="3219"/>
      <c r="AQ59" s="3219"/>
      <c r="AR59" s="3219"/>
      <c r="AS59" s="3219"/>
      <c r="AT59" s="3219"/>
      <c r="AU59" s="3219"/>
      <c r="BA59" s="1072">
        <v>22</v>
      </c>
    </row>
    <row r="60" spans="1:53" ht="30.5" customHeight="1">
      <c r="O60" s="471"/>
      <c r="T60" s="3219"/>
      <c r="U60" s="3219"/>
      <c r="V60" s="3219"/>
      <c r="W60" s="3219"/>
      <c r="X60" s="3219"/>
      <c r="Y60" s="3219"/>
      <c r="Z60" s="3219"/>
      <c r="AA60" s="3219"/>
      <c r="AB60" s="3219"/>
      <c r="AC60" s="3219"/>
      <c r="AD60" s="3219"/>
      <c r="AE60" s="3219"/>
      <c r="AF60" s="3219"/>
      <c r="AG60" s="3219"/>
      <c r="AH60" s="3219"/>
      <c r="AI60" s="3219"/>
      <c r="AJ60" s="3219"/>
      <c r="AK60" s="3219"/>
      <c r="AL60" s="3219"/>
      <c r="AM60" s="3219"/>
      <c r="AN60" s="3219"/>
      <c r="AO60" s="3219"/>
      <c r="AP60" s="3219"/>
      <c r="AQ60" s="3219"/>
      <c r="AR60" s="3219"/>
      <c r="AS60" s="3219"/>
      <c r="AT60" s="3219"/>
      <c r="AU60" s="3219"/>
      <c r="BA60" s="1072">
        <v>29</v>
      </c>
    </row>
    <row r="61" spans="1:53" ht="42" customHeight="1">
      <c r="O61" s="471"/>
      <c r="T61" s="3219"/>
      <c r="U61" s="3219"/>
      <c r="V61" s="3219"/>
      <c r="W61" s="3219"/>
      <c r="X61" s="3219"/>
      <c r="Y61" s="3219"/>
      <c r="Z61" s="3219"/>
      <c r="AA61" s="3219"/>
      <c r="AB61" s="3219"/>
      <c r="AC61" s="3219"/>
      <c r="AD61" s="3219"/>
      <c r="AE61" s="3219"/>
      <c r="AF61" s="3219"/>
      <c r="AG61" s="3219"/>
      <c r="AH61" s="3219"/>
      <c r="AI61" s="3219"/>
      <c r="AJ61" s="3219"/>
      <c r="AK61" s="3219"/>
      <c r="AL61" s="3219"/>
      <c r="AM61" s="3219"/>
      <c r="AN61" s="3219"/>
      <c r="AO61" s="3219"/>
      <c r="AP61" s="3219"/>
      <c r="AQ61" s="3219"/>
      <c r="AR61" s="3219"/>
      <c r="AS61" s="3219"/>
      <c r="AT61" s="3219"/>
      <c r="AU61" s="3219"/>
      <c r="BA61" s="1072">
        <v>40</v>
      </c>
    </row>
    <row r="62" spans="1:53" ht="14.65" customHeight="1">
      <c r="O62" s="471"/>
      <c r="AL62" s="2219"/>
      <c r="AM62" s="2219"/>
      <c r="AN62" s="2219"/>
      <c r="AO62" s="2219"/>
      <c r="AP62" s="2219"/>
      <c r="AQ62" s="2219"/>
      <c r="AR62" s="2219"/>
      <c r="AS62" s="2219"/>
      <c r="BA62" s="1072">
        <v>14</v>
      </c>
    </row>
    <row r="63" spans="1:53" ht="21" customHeight="1">
      <c r="O63" s="471"/>
      <c r="S63" s="1170"/>
      <c r="T63" s="3129"/>
      <c r="U63" s="3219"/>
      <c r="V63" s="3219"/>
      <c r="W63" s="3219"/>
      <c r="X63" s="3219"/>
      <c r="Y63" s="3219"/>
      <c r="Z63" s="3219"/>
      <c r="AA63" s="3219"/>
      <c r="AB63" s="3219"/>
      <c r="AC63" s="3219"/>
      <c r="AD63" s="3219"/>
      <c r="AE63" s="3219"/>
      <c r="AF63" s="3219"/>
      <c r="AG63" s="3219"/>
      <c r="AH63" s="3219"/>
      <c r="AI63" s="3219"/>
      <c r="AJ63" s="3219"/>
      <c r="AK63" s="3219"/>
      <c r="AL63" s="3219"/>
      <c r="AM63" s="3219"/>
      <c r="AN63" s="3219"/>
      <c r="AO63" s="3219"/>
      <c r="AP63" s="3219"/>
      <c r="AQ63" s="3219"/>
      <c r="AR63" s="3219"/>
      <c r="AS63" s="3219"/>
      <c r="AT63" s="3219"/>
      <c r="AU63" s="3219"/>
      <c r="BA63" s="1072">
        <v>20</v>
      </c>
    </row>
    <row r="64" spans="1:53" ht="29.25" customHeight="1">
      <c r="O64" s="471"/>
      <c r="T64" s="3219"/>
      <c r="U64" s="3219"/>
      <c r="V64" s="3219"/>
      <c r="W64" s="3219"/>
      <c r="X64" s="3219"/>
      <c r="Y64" s="3219"/>
      <c r="Z64" s="3219"/>
      <c r="AA64" s="3219"/>
      <c r="AB64" s="3219"/>
      <c r="AC64" s="3219"/>
      <c r="AD64" s="3219"/>
      <c r="AE64" s="3219"/>
      <c r="AF64" s="3219"/>
      <c r="AG64" s="3219"/>
      <c r="AH64" s="3219"/>
      <c r="AI64" s="3219"/>
      <c r="AJ64" s="3219"/>
      <c r="AK64" s="3219"/>
      <c r="AL64" s="3219"/>
      <c r="AM64" s="3219"/>
      <c r="AN64" s="3219"/>
      <c r="AO64" s="3219"/>
      <c r="AP64" s="3219"/>
      <c r="AQ64" s="3219"/>
      <c r="AR64" s="3219"/>
      <c r="AS64" s="3219"/>
      <c r="AT64" s="3219"/>
      <c r="AU64" s="3219"/>
      <c r="BA64" s="1072">
        <v>28</v>
      </c>
    </row>
    <row r="65" spans="1:53" ht="35.65" customHeight="1">
      <c r="T65" s="3219"/>
      <c r="U65" s="3219"/>
      <c r="V65" s="3219"/>
      <c r="W65" s="3219"/>
      <c r="X65" s="3219"/>
      <c r="Y65" s="3219"/>
      <c r="Z65" s="3219"/>
      <c r="AA65" s="3219"/>
      <c r="AB65" s="3219"/>
      <c r="AC65" s="3219"/>
      <c r="AD65" s="3219"/>
      <c r="AE65" s="3219"/>
      <c r="AF65" s="3219"/>
      <c r="AG65" s="3219"/>
      <c r="AH65" s="3219"/>
      <c r="AI65" s="3219"/>
      <c r="AJ65" s="3219"/>
      <c r="AK65" s="3219"/>
      <c r="AL65" s="3219"/>
      <c r="AM65" s="3219"/>
      <c r="AN65" s="3219"/>
      <c r="AO65" s="3219"/>
      <c r="AP65" s="3219"/>
      <c r="AQ65" s="3219"/>
      <c r="AR65" s="3219"/>
      <c r="AS65" s="3219"/>
      <c r="AT65" s="3219"/>
      <c r="AU65" s="3219"/>
      <c r="BA65" s="1072">
        <v>34</v>
      </c>
    </row>
    <row r="66" spans="1:53" ht="22.5" hidden="1" customHeight="1">
      <c r="A66" s="1077" t="s">
        <v>83</v>
      </c>
      <c r="B66" s="1077">
        <v>0</v>
      </c>
      <c r="C66" s="1077">
        <v>0</v>
      </c>
      <c r="D66" s="1077">
        <v>0</v>
      </c>
      <c r="E66" s="1077">
        <v>0</v>
      </c>
      <c r="F66" s="1077">
        <v>0</v>
      </c>
      <c r="G66" s="1077">
        <v>0</v>
      </c>
      <c r="H66" s="1077">
        <v>0</v>
      </c>
      <c r="I66" s="1077">
        <v>0</v>
      </c>
      <c r="J66" s="1077">
        <v>0</v>
      </c>
      <c r="K66" s="1077">
        <v>0</v>
      </c>
      <c r="L66" s="1246">
        <v>0</v>
      </c>
      <c r="M66" s="1279">
        <v>0</v>
      </c>
      <c r="N66" s="1279">
        <v>0</v>
      </c>
      <c r="O66" s="1279">
        <v>0</v>
      </c>
      <c r="P66" s="1245">
        <v>0</v>
      </c>
      <c r="Q66" s="279">
        <v>3</v>
      </c>
      <c r="R66" s="279">
        <v>3</v>
      </c>
      <c r="S66" s="515">
        <v>12</v>
      </c>
      <c r="T66" s="1072">
        <v>31</v>
      </c>
      <c r="U66" s="1072">
        <v>0</v>
      </c>
      <c r="V66" s="1072">
        <v>0</v>
      </c>
      <c r="W66" s="1072">
        <v>0</v>
      </c>
      <c r="X66" s="1072">
        <v>0</v>
      </c>
      <c r="Y66" s="1072">
        <v>0</v>
      </c>
      <c r="Z66" s="1072">
        <v>0</v>
      </c>
      <c r="AA66" s="1072">
        <v>0</v>
      </c>
      <c r="AB66" s="1072">
        <v>0</v>
      </c>
      <c r="AC66" s="1072">
        <v>0</v>
      </c>
      <c r="AD66" s="1072">
        <v>24</v>
      </c>
      <c r="AE66" s="1072">
        <v>0</v>
      </c>
      <c r="AF66" s="1072">
        <v>24</v>
      </c>
      <c r="AG66" s="1072">
        <v>24</v>
      </c>
      <c r="AH66" s="1072">
        <v>11</v>
      </c>
      <c r="AI66" s="1072">
        <v>3</v>
      </c>
      <c r="AJ66" s="1072">
        <v>11</v>
      </c>
      <c r="AK66" s="1072">
        <v>0</v>
      </c>
      <c r="AL66" s="2219">
        <v>0</v>
      </c>
      <c r="AM66" s="2219">
        <v>0</v>
      </c>
      <c r="AN66" s="2219">
        <v>0</v>
      </c>
      <c r="AO66" s="2219">
        <v>0</v>
      </c>
      <c r="AP66" s="2219">
        <v>0</v>
      </c>
      <c r="AQ66" s="2219">
        <v>0</v>
      </c>
      <c r="AR66" s="2219">
        <v>0</v>
      </c>
      <c r="AS66" s="2219">
        <v>0</v>
      </c>
      <c r="AT66" s="1072">
        <v>4</v>
      </c>
      <c r="AU66" s="1072">
        <v>115</v>
      </c>
      <c r="AV66" s="445">
        <v>10</v>
      </c>
      <c r="AW66" s="445">
        <v>10</v>
      </c>
      <c r="AX66" s="445">
        <v>10</v>
      </c>
      <c r="AY66" s="445">
        <v>10</v>
      </c>
      <c r="AZ66" s="445">
        <v>10</v>
      </c>
      <c r="BA66" s="1072">
        <v>23</v>
      </c>
    </row>
  </sheetData>
  <sheetProtection formatColumns="0" formatRows="0" insertRows="0" deleteColumns="0" deleteRows="0" sort="0" autoFilter="0"/>
  <mergeCells count="136">
    <mergeCell ref="T63:AU63"/>
    <mergeCell ref="T64:AU64"/>
    <mergeCell ref="T65:AU65"/>
    <mergeCell ref="AU49:AU51"/>
    <mergeCell ref="T59:AU59"/>
    <mergeCell ref="T60:AU60"/>
    <mergeCell ref="T61:AU61"/>
    <mergeCell ref="J48:J51"/>
    <mergeCell ref="Q48:Q51"/>
    <mergeCell ref="V48:AC48"/>
    <mergeCell ref="AD48:AT48"/>
    <mergeCell ref="K49:K50"/>
    <mergeCell ref="Z49:Z50"/>
    <mergeCell ref="AA49:AA50"/>
    <mergeCell ref="AB49:AB50"/>
    <mergeCell ref="AC49:AC50"/>
    <mergeCell ref="AH49:AH50"/>
    <mergeCell ref="AI49:AI50"/>
    <mergeCell ref="AJ49:AJ50"/>
    <mergeCell ref="AK49:AK50"/>
    <mergeCell ref="E43:E56"/>
    <mergeCell ref="V43:AC43"/>
    <mergeCell ref="AD43:AT43"/>
    <mergeCell ref="F44:F55"/>
    <mergeCell ref="V44:AC44"/>
    <mergeCell ref="AD44:AT44"/>
    <mergeCell ref="G45:G54"/>
    <mergeCell ref="V45:AC45"/>
    <mergeCell ref="AD45:AT45"/>
    <mergeCell ref="H46:H53"/>
    <mergeCell ref="V46:AC46"/>
    <mergeCell ref="AD46:AT46"/>
    <mergeCell ref="I47:I52"/>
    <mergeCell ref="P47:P52"/>
    <mergeCell ref="V47:AC47"/>
    <mergeCell ref="AD47:AT47"/>
    <mergeCell ref="AP49:AP50"/>
    <mergeCell ref="AQ49:AQ50"/>
    <mergeCell ref="AR49:AR50"/>
    <mergeCell ref="AS49:AS50"/>
    <mergeCell ref="AH40:AJ40"/>
    <mergeCell ref="AA41:AB41"/>
    <mergeCell ref="AI41:AJ41"/>
    <mergeCell ref="AA42:AB42"/>
    <mergeCell ref="AI42:AJ42"/>
    <mergeCell ref="S38:AT38"/>
    <mergeCell ref="AU38:AU41"/>
    <mergeCell ref="S39:S41"/>
    <mergeCell ref="T39:T41"/>
    <mergeCell ref="V39:AB39"/>
    <mergeCell ref="AC39:AC41"/>
    <mergeCell ref="AD39:AJ39"/>
    <mergeCell ref="AK39:AK41"/>
    <mergeCell ref="AT39:AT41"/>
    <mergeCell ref="V40:V41"/>
    <mergeCell ref="W40:W41"/>
    <mergeCell ref="X40:Y40"/>
    <mergeCell ref="Z40:AB40"/>
    <mergeCell ref="AD40:AD41"/>
    <mergeCell ref="AE40:AE41"/>
    <mergeCell ref="AF40:AG40"/>
    <mergeCell ref="AQ42:AR42"/>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U8:AU10"/>
    <mergeCell ref="AH17:AH18"/>
    <mergeCell ref="AI17:AI18"/>
    <mergeCell ref="AJ17:AJ18"/>
    <mergeCell ref="AK17:AK18"/>
    <mergeCell ref="J7:J10"/>
    <mergeCell ref="Q7:Q10"/>
    <mergeCell ref="V7:AC7"/>
    <mergeCell ref="AD7:AT7"/>
    <mergeCell ref="K8:K9"/>
    <mergeCell ref="Z8:Z9"/>
    <mergeCell ref="AA8:AA9"/>
    <mergeCell ref="AB8:AB9"/>
    <mergeCell ref="AC8:AC9"/>
    <mergeCell ref="AH8:AH9"/>
    <mergeCell ref="AI8:AI9"/>
    <mergeCell ref="AJ8:AJ9"/>
    <mergeCell ref="AK8:AK9"/>
    <mergeCell ref="E2:E15"/>
    <mergeCell ref="V2:AC2"/>
    <mergeCell ref="AD2:AT2"/>
    <mergeCell ref="F3:F14"/>
    <mergeCell ref="V3:AC3"/>
    <mergeCell ref="AD3:AT3"/>
    <mergeCell ref="G4:G13"/>
    <mergeCell ref="V4:AC4"/>
    <mergeCell ref="AD4:AT4"/>
    <mergeCell ref="H5:H12"/>
    <mergeCell ref="V5:AC5"/>
    <mergeCell ref="AD5:AT5"/>
    <mergeCell ref="I6:I11"/>
    <mergeCell ref="P6:P11"/>
    <mergeCell ref="V6:AC6"/>
    <mergeCell ref="AD6:AT6"/>
    <mergeCell ref="AP8:AP9"/>
    <mergeCell ref="AQ8:AQ9"/>
    <mergeCell ref="AR8:AR9"/>
    <mergeCell ref="AS8:AS9"/>
    <mergeCell ref="AL29:AR29"/>
    <mergeCell ref="AL30:AR30"/>
    <mergeCell ref="AL31:AR31"/>
    <mergeCell ref="AL32:AR32"/>
    <mergeCell ref="AL34:AR34"/>
    <mergeCell ref="AL35:AR35"/>
    <mergeCell ref="AL37:AS37"/>
    <mergeCell ref="AL39:AR39"/>
    <mergeCell ref="AS39:AS41"/>
    <mergeCell ref="AL40:AL41"/>
    <mergeCell ref="AM40:AM41"/>
    <mergeCell ref="AN40:AO40"/>
    <mergeCell ref="AP40:AR40"/>
    <mergeCell ref="AQ41:AR4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AO9 AO50" xr:uid="{00000000-0002-0000-1000-000000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Q49 AS49 AK524337:AS524337 AK8 AQ8 AS8 AK589873:AS589873 AK655409:AS655409 AK17 AK720945:AS720945 AK786481:AS786481 AK852017:AS852017 AK917553:AS917553 AK983089:AS983089 AK65585:AS65585 AK131121:AS131121 AK458801:AS458801 AK196657:AS196657 AI49 AK262193:AS262193 AI8 AC8 AA8 AI17 AK327729:AS327729 AA49 AC49 AK393265:AS393265" xr:uid="{00000000-0002-0000-10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AP8 AR8 AP49 AR49" xr:uid="{00000000-0002-0000-1000-000002000000}"/>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1000-000003000000}">
      <formula1>kind_of_heat_transfer</formula1>
    </dataValidation>
    <dataValidation type="textLength" operator="lessThanOrEqual" allowBlank="1" showInputMessage="1" showErrorMessage="1" errorTitle="Ошибка" error="Допускается ввод не более 900 символов!" sqref="AU65579:AU65586 AU131115:AU131122 AU196651:AU196658 AU262187:AU262194 AU327723:AU327730 AU393259:AU393266 AU458795:AU458802 AU524331:AU524338 AU589867:AU589874 AU655403:AU655410 AU720939:AU720946 AU786475:AU786482 AU852011:AU852018 AU917547:AU917554 AU983083:AU983090" xr:uid="{00000000-0002-0000-1000-00000400000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1000-000005000000}">
      <formula1>kind_of_scheme_in</formula1>
    </dataValidation>
    <dataValidation type="list" allowBlank="1" showInputMessage="1" errorTitle="Ошибка" error="Выберите значение из списка" prompt="Выберите значение из списка" sqref="V983088:AT983088 V65584:AT65584 V131120:AT131120 V196656:AT196656 V262192:AT262192 V327728:AT327728 V393264:AT393264 V458800:AT458800 V524336:AT524336 V589872:AT589872 V655408:AT655408 V720944:AT720944 V786480:AT786480 V852016:AT852016 V917552:AT917552" xr:uid="{00000000-0002-0000-1000-000006000000}">
      <formula1>kind_of_cons</formula1>
    </dataValidation>
    <dataValidation allowBlank="1" sqref="S131123:AU131129 S196659:AU196665 S262195:AU262201 S327731:AU327737 S393267:AU393273 S458803:AU458809 S524339:AU524345 S589875:AU589881 S655411:AU655417 S720947:AU720953 S786483:AU786489 S852019:AU852025 S917555:AU917561 S983091:AU983097 S65587:AU65593" xr:uid="{00000000-0002-0000-10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E2744-87F7-0416-461F-ED5F1B58C337}">
  <sheetPr>
    <tabColor theme="6" tint="0.39997558519241921"/>
  </sheetPr>
  <dimension ref="A1:AS66"/>
  <sheetViews>
    <sheetView showGridLines="0" topLeftCell="Q25" zoomScale="90" workbookViewId="0"/>
  </sheetViews>
  <sheetFormatPr defaultColWidth="10.59765625" defaultRowHeight="14.25" customHeight="1"/>
  <cols>
    <col min="1" max="1" width="10.59765625" style="2016" hidden="1"/>
    <col min="2" max="2" width="11" style="2016" hidden="1" customWidth="1"/>
    <col min="3" max="3" width="10.59765625" style="2016" hidden="1"/>
    <col min="4" max="4" width="11.796875" style="2016" hidden="1" customWidth="1"/>
    <col min="5" max="5" width="10" style="2016" hidden="1" customWidth="1"/>
    <col min="6" max="6" width="8.69921875" style="2016" hidden="1" customWidth="1"/>
    <col min="7" max="7" width="7.59765625" style="2016" hidden="1" customWidth="1"/>
    <col min="8" max="8" width="11.3984375" style="2016" hidden="1" customWidth="1"/>
    <col min="9" max="9" width="12" style="2016" hidden="1" customWidth="1"/>
    <col min="10" max="10" width="9.796875" style="2016" hidden="1" customWidth="1"/>
    <col min="11" max="11" width="11.3984375" style="2016" hidden="1" customWidth="1"/>
    <col min="12" max="12" width="19.09765625" style="2216" hidden="1" customWidth="1"/>
    <col min="13" max="14" width="12.296875" style="2006" hidden="1" customWidth="1"/>
    <col min="15" max="15" width="23.3984375" style="2006" hidden="1" customWidth="1"/>
    <col min="16" max="16" width="3.69921875" style="2217" hidden="1" customWidth="1"/>
    <col min="17" max="18" width="3" style="2215" customWidth="1"/>
    <col min="19" max="19" width="12" style="2218" customWidth="1"/>
    <col min="20" max="20" width="31" style="2004" customWidth="1"/>
    <col min="21" max="21" width="9.765625E-2" style="2004" customWidth="1"/>
    <col min="22" max="22" width="24.69921875" style="2004" hidden="1" customWidth="1"/>
    <col min="23" max="23" width="9.765625E-2" style="2004" hidden="1" customWidth="1"/>
    <col min="24" max="25" width="24.69921875" style="2004" hidden="1" customWidth="1"/>
    <col min="26" max="26" width="11.69921875" style="2004" hidden="1" customWidth="1"/>
    <col min="27" max="27" width="3.69921875" style="2004" hidden="1" customWidth="1"/>
    <col min="28" max="28" width="11.69921875" style="2004" hidden="1" customWidth="1"/>
    <col min="29" max="29" width="8.59765625" style="2004" hidden="1" customWidth="1"/>
    <col min="30" max="30" width="24.69921875" style="2004" customWidth="1"/>
    <col min="31" max="31" width="9.765625E-2" style="2004" customWidth="1"/>
    <col min="32" max="33" width="24" style="2004" customWidth="1"/>
    <col min="34" max="34" width="11" style="2004" customWidth="1"/>
    <col min="35" max="35" width="3.69921875" style="2004" customWidth="1"/>
    <col min="36" max="36" width="11" style="2004" customWidth="1"/>
    <col min="37" max="37" width="8.59765625" style="2004" hidden="1" customWidth="1"/>
    <col min="38" max="38" width="4" style="2004" customWidth="1"/>
    <col min="39" max="39" width="115" style="2004" customWidth="1"/>
    <col min="40" max="44" width="10" style="2017" customWidth="1"/>
    <col min="45" max="45" width="10.59765625" style="2004" hidden="1"/>
  </cols>
  <sheetData>
    <row r="1" spans="1:45" ht="22.5" hidden="1" customHeight="1">
      <c r="Y1" s="262"/>
      <c r="Z1" s="262"/>
      <c r="AG1" s="262"/>
      <c r="AH1" s="262"/>
      <c r="AS1" s="1072" t="s">
        <v>14</v>
      </c>
    </row>
    <row r="2" spans="1:45" ht="21" hidden="1" customHeight="1">
      <c r="A2" s="1280"/>
      <c r="B2" s="1280"/>
      <c r="C2" s="1280"/>
      <c r="D2" s="1280"/>
      <c r="E2" s="3199">
        <v>1</v>
      </c>
      <c r="F2" s="1280"/>
      <c r="G2" s="1280"/>
      <c r="H2" s="1280"/>
      <c r="I2" s="1280"/>
      <c r="J2" s="1280"/>
      <c r="K2" s="1280"/>
      <c r="L2" s="1281"/>
      <c r="M2" s="1282"/>
      <c r="N2" s="1282"/>
      <c r="O2" s="1282"/>
      <c r="P2" s="295"/>
      <c r="Q2" s="294"/>
      <c r="R2" s="289"/>
      <c r="S2" s="1253" t="e">
        <f>INDEX(PT_DIFFERENTIATION_NUM_NTAR,MATCH(A2,PT_DIFFERENTIATION_NTAR_ID,0))</f>
        <v>#N/A</v>
      </c>
      <c r="T2" s="233" t="s">
        <v>137</v>
      </c>
      <c r="U2" s="235"/>
      <c r="V2" s="3185"/>
      <c r="W2" s="3186"/>
      <c r="X2" s="3186"/>
      <c r="Y2" s="3186"/>
      <c r="Z2" s="3186"/>
      <c r="AA2" s="3186"/>
      <c r="AB2" s="3186"/>
      <c r="AC2" s="3187"/>
      <c r="AD2" s="3185" t="e">
        <f>INDEX(PT_DIFFERENTIATION_NTAR,MATCH(A2,PT_DIFFERENTIATION_NTAR_ID,0))</f>
        <v>#N/A</v>
      </c>
      <c r="AE2" s="3186"/>
      <c r="AF2" s="3186"/>
      <c r="AG2" s="3186"/>
      <c r="AH2" s="3186"/>
      <c r="AI2" s="3186"/>
      <c r="AJ2" s="3186"/>
      <c r="AK2" s="3186"/>
      <c r="AL2" s="3187"/>
      <c r="AM2" s="1175" t="s">
        <v>431</v>
      </c>
      <c r="AO2" s="434"/>
      <c r="AP2" s="434" t="str">
        <f t="shared" ref="AP2:AP15" si="0">IF(T2="","",T2)</f>
        <v>Наименование тарифа</v>
      </c>
      <c r="AQ2" s="434"/>
      <c r="AR2" s="434"/>
      <c r="AS2" s="1072">
        <v>0</v>
      </c>
    </row>
    <row r="3" spans="1:45" ht="21" hidden="1" customHeight="1">
      <c r="A3" s="1280"/>
      <c r="B3" s="1280"/>
      <c r="C3" s="1280"/>
      <c r="D3" s="1280"/>
      <c r="E3" s="3200"/>
      <c r="F3" s="3199">
        <v>1</v>
      </c>
      <c r="G3" s="1280"/>
      <c r="H3" s="1280"/>
      <c r="I3" s="1280"/>
      <c r="J3" s="1280"/>
      <c r="K3" s="1280"/>
      <c r="L3" s="1281"/>
      <c r="M3" s="1282"/>
      <c r="N3" s="1282"/>
      <c r="O3" s="1282"/>
      <c r="P3" s="1249"/>
      <c r="Q3" s="286"/>
      <c r="R3" s="287"/>
      <c r="S3" s="1253" t="e">
        <f>INDEX(PT_DIFFERENTIATION_NUM_TER,MATCH(B3,PT_DIFFERENTIATION_TER_ID,0))</f>
        <v>#N/A</v>
      </c>
      <c r="T3" s="243" t="s">
        <v>432</v>
      </c>
      <c r="U3" s="235"/>
      <c r="V3" s="3185"/>
      <c r="W3" s="3186"/>
      <c r="X3" s="3186"/>
      <c r="Y3" s="3186"/>
      <c r="Z3" s="3186"/>
      <c r="AA3" s="3186"/>
      <c r="AB3" s="3186"/>
      <c r="AC3" s="3187"/>
      <c r="AD3" s="3185" t="e">
        <f>INDEX(PT_DIFFERENTIATION_TER,MATCH(B3,PT_DIFFERENTIATION_TER_ID,0))</f>
        <v>#N/A</v>
      </c>
      <c r="AE3" s="3186"/>
      <c r="AF3" s="3186"/>
      <c r="AG3" s="3186"/>
      <c r="AH3" s="3186"/>
      <c r="AI3" s="3186"/>
      <c r="AJ3" s="3186"/>
      <c r="AK3" s="3186"/>
      <c r="AL3" s="3187"/>
      <c r="AM3" s="1175" t="s">
        <v>433</v>
      </c>
      <c r="AO3" s="434"/>
      <c r="AP3" s="434" t="str">
        <f t="shared" si="0"/>
        <v>Территория действия тарифа</v>
      </c>
      <c r="AQ3" s="434"/>
      <c r="AR3" s="434"/>
      <c r="AS3" s="1072">
        <v>0</v>
      </c>
    </row>
    <row r="4" spans="1:45" ht="23.25" hidden="1" customHeight="1">
      <c r="A4" s="1280"/>
      <c r="B4" s="1280"/>
      <c r="C4" s="1280"/>
      <c r="D4" s="1280"/>
      <c r="E4" s="3200"/>
      <c r="F4" s="3200"/>
      <c r="G4" s="3199">
        <v>1</v>
      </c>
      <c r="H4" s="1280"/>
      <c r="I4" s="1280"/>
      <c r="J4" s="1280"/>
      <c r="K4" s="1280"/>
      <c r="L4" s="1281"/>
      <c r="M4" s="1282"/>
      <c r="N4" s="1282"/>
      <c r="O4" s="1282"/>
      <c r="P4" s="288"/>
      <c r="Q4" s="286"/>
      <c r="R4" s="287"/>
      <c r="S4" s="1253" t="e">
        <f>INDEX(PT_DIFFERENTIATION_NUM_CS,MATCH(C4,PT_DIFFERENTIATION_CS_ID,0))</f>
        <v>#N/A</v>
      </c>
      <c r="T4" s="244" t="s">
        <v>434</v>
      </c>
      <c r="U4" s="235"/>
      <c r="V4" s="3185"/>
      <c r="W4" s="3186"/>
      <c r="X4" s="3186"/>
      <c r="Y4" s="3186"/>
      <c r="Z4" s="3186"/>
      <c r="AA4" s="3186"/>
      <c r="AB4" s="3186"/>
      <c r="AC4" s="3187"/>
      <c r="AD4" s="3185" t="e">
        <f>INDEX(PT_DIFFERENTIATION_CS,MATCH(C4,PT_DIFFERENTIATION_CS_ID,0))</f>
        <v>#N/A</v>
      </c>
      <c r="AE4" s="3186"/>
      <c r="AF4" s="3186"/>
      <c r="AG4" s="3186"/>
      <c r="AH4" s="3186"/>
      <c r="AI4" s="3186"/>
      <c r="AJ4" s="3186"/>
      <c r="AK4" s="3186"/>
      <c r="AL4" s="3187"/>
      <c r="AM4" s="1175" t="s">
        <v>435</v>
      </c>
      <c r="AO4" s="434"/>
      <c r="AP4" s="434" t="str">
        <f t="shared" si="0"/>
        <v xml:space="preserve">Наименование системы теплоснабжения </v>
      </c>
      <c r="AQ4" s="434"/>
      <c r="AR4" s="434"/>
      <c r="AS4" s="1072">
        <v>0</v>
      </c>
    </row>
    <row r="5" spans="1:45" ht="21" hidden="1" customHeight="1">
      <c r="A5" s="1280"/>
      <c r="B5" s="1280"/>
      <c r="C5" s="1280"/>
      <c r="D5" s="1280"/>
      <c r="E5" s="3200"/>
      <c r="F5" s="3200"/>
      <c r="G5" s="3200"/>
      <c r="H5" s="3199">
        <v>1</v>
      </c>
      <c r="I5" s="1280"/>
      <c r="J5" s="1280"/>
      <c r="K5" s="1280"/>
      <c r="L5" s="1281"/>
      <c r="M5" s="1282"/>
      <c r="N5" s="1282"/>
      <c r="O5" s="1282"/>
      <c r="P5" s="288"/>
      <c r="Q5" s="286"/>
      <c r="R5" s="287"/>
      <c r="S5" s="1253" t="e">
        <f>INDEX(PT_DIFFERENTIATION_NUM_IST_TE,MATCH(D5,PT_DIFFERENTIATION_IST_TE_ID,0))</f>
        <v>#N/A</v>
      </c>
      <c r="T5" s="245" t="s">
        <v>436</v>
      </c>
      <c r="U5" s="235"/>
      <c r="V5" s="3185"/>
      <c r="W5" s="3186"/>
      <c r="X5" s="3186"/>
      <c r="Y5" s="3186"/>
      <c r="Z5" s="3186"/>
      <c r="AA5" s="3186"/>
      <c r="AB5" s="3186"/>
      <c r="AC5" s="3187"/>
      <c r="AD5" s="3185" t="e">
        <f>INDEX(PT_DIFFERENTIATION_IST_TE,MATCH(D5,PT_DIFFERENTIATION_IST_TE_ID,0))</f>
        <v>#N/A</v>
      </c>
      <c r="AE5" s="3186"/>
      <c r="AF5" s="3186"/>
      <c r="AG5" s="3186"/>
      <c r="AH5" s="3186"/>
      <c r="AI5" s="3186"/>
      <c r="AJ5" s="3186"/>
      <c r="AK5" s="3186"/>
      <c r="AL5" s="3187"/>
      <c r="AM5" s="1175" t="s">
        <v>437</v>
      </c>
      <c r="AO5" s="434"/>
      <c r="AP5" s="434" t="str">
        <f t="shared" si="0"/>
        <v xml:space="preserve">Источник тепловой энергии  </v>
      </c>
      <c r="AQ5" s="434"/>
      <c r="AR5" s="434"/>
      <c r="AS5" s="1072">
        <v>0</v>
      </c>
    </row>
    <row r="6" spans="1:45" ht="14.25" hidden="1" customHeight="1">
      <c r="A6" s="1280"/>
      <c r="B6" s="1280"/>
      <c r="C6" s="1280"/>
      <c r="D6" s="1280"/>
      <c r="E6" s="3200"/>
      <c r="F6" s="3200"/>
      <c r="G6" s="3200"/>
      <c r="H6" s="3200"/>
      <c r="I6" s="3197" t="e">
        <f>S5&amp;".1"</f>
        <v>#N/A</v>
      </c>
      <c r="J6" s="1280"/>
      <c r="K6" s="1280"/>
      <c r="L6" s="1281" t="s">
        <v>438</v>
      </c>
      <c r="M6" s="471"/>
      <c r="P6" s="3198">
        <v>1</v>
      </c>
      <c r="Q6" s="1248"/>
      <c r="R6" s="290"/>
      <c r="S6" s="963"/>
      <c r="T6" s="1300"/>
      <c r="U6" s="1301"/>
      <c r="V6" s="3228"/>
      <c r="W6" s="3229"/>
      <c r="X6" s="3229"/>
      <c r="Y6" s="3229"/>
      <c r="Z6" s="3229"/>
      <c r="AA6" s="3229"/>
      <c r="AB6" s="3229"/>
      <c r="AC6" s="3230"/>
      <c r="AD6" s="3228"/>
      <c r="AE6" s="3229"/>
      <c r="AF6" s="3229"/>
      <c r="AG6" s="3229"/>
      <c r="AH6" s="3229"/>
      <c r="AI6" s="3229"/>
      <c r="AJ6" s="3229"/>
      <c r="AK6" s="3229"/>
      <c r="AL6" s="3230"/>
      <c r="AM6" s="1302"/>
      <c r="AO6" s="434"/>
      <c r="AP6" s="434" t="str">
        <f t="shared" si="0"/>
        <v/>
      </c>
      <c r="AQ6" s="434"/>
      <c r="AR6" s="434"/>
      <c r="AS6" s="1072">
        <v>0</v>
      </c>
    </row>
    <row r="7" spans="1:45" ht="21" hidden="1" customHeight="1">
      <c r="A7" s="1280"/>
      <c r="B7" s="1280"/>
      <c r="C7" s="1280"/>
      <c r="D7" s="1280"/>
      <c r="E7" s="3200"/>
      <c r="F7" s="3200"/>
      <c r="G7" s="3200"/>
      <c r="H7" s="3200"/>
      <c r="I7" s="3220"/>
      <c r="J7" s="3197" t="e">
        <f>I6&amp;".1"</f>
        <v>#N/A</v>
      </c>
      <c r="K7" s="1280"/>
      <c r="L7" s="1281" t="s">
        <v>441</v>
      </c>
      <c r="M7" s="471"/>
      <c r="N7" s="1283"/>
      <c r="P7" s="3198"/>
      <c r="Q7" s="3198">
        <v>1</v>
      </c>
      <c r="R7" s="291"/>
      <c r="S7" s="1253" t="e">
        <f>$J7</f>
        <v>#N/A</v>
      </c>
      <c r="T7" s="221" t="s">
        <v>442</v>
      </c>
      <c r="U7" s="235"/>
      <c r="V7" s="3188"/>
      <c r="W7" s="3189"/>
      <c r="X7" s="3189"/>
      <c r="Y7" s="3189"/>
      <c r="Z7" s="3189"/>
      <c r="AA7" s="3189"/>
      <c r="AB7" s="3189"/>
      <c r="AC7" s="3190"/>
      <c r="AD7" s="3188"/>
      <c r="AE7" s="3189"/>
      <c r="AF7" s="3189"/>
      <c r="AG7" s="3189"/>
      <c r="AH7" s="3189"/>
      <c r="AI7" s="3189"/>
      <c r="AJ7" s="3189"/>
      <c r="AK7" s="3189"/>
      <c r="AL7" s="3190"/>
      <c r="AM7" s="1175" t="s">
        <v>443</v>
      </c>
      <c r="AO7" s="434"/>
      <c r="AP7" s="434" t="str">
        <f t="shared" si="0"/>
        <v>Группа потребителей</v>
      </c>
      <c r="AQ7" s="434"/>
      <c r="AR7" s="434"/>
      <c r="AS7" s="1072">
        <v>0</v>
      </c>
    </row>
    <row r="8" spans="1:45" ht="21" hidden="1" customHeight="1">
      <c r="A8" s="1280"/>
      <c r="B8" s="1280"/>
      <c r="C8" s="1280"/>
      <c r="D8" s="1280"/>
      <c r="E8" s="3200"/>
      <c r="F8" s="3200"/>
      <c r="G8" s="3200"/>
      <c r="H8" s="3200"/>
      <c r="I8" s="3220"/>
      <c r="J8" s="3220"/>
      <c r="K8" s="3197" t="e">
        <f>J7&amp;".1"</f>
        <v>#N/A</v>
      </c>
      <c r="L8" s="1281" t="s">
        <v>444</v>
      </c>
      <c r="M8" s="471"/>
      <c r="N8" s="1283"/>
      <c r="O8" s="1283"/>
      <c r="P8" s="3198"/>
      <c r="Q8" s="3198"/>
      <c r="R8" s="291">
        <v>1</v>
      </c>
      <c r="S8" s="1253" t="e">
        <f>$K8</f>
        <v>#N/A</v>
      </c>
      <c r="T8" s="1264"/>
      <c r="U8" s="235"/>
      <c r="V8" s="685"/>
      <c r="W8" s="260"/>
      <c r="X8" s="685"/>
      <c r="Y8" s="1174"/>
      <c r="Z8" s="3202"/>
      <c r="AA8" s="3048" t="s">
        <v>67</v>
      </c>
      <c r="AB8" s="3202"/>
      <c r="AC8" s="3048" t="s">
        <v>67</v>
      </c>
      <c r="AD8" s="685"/>
      <c r="AE8" s="260"/>
      <c r="AF8" s="685"/>
      <c r="AG8" s="1174"/>
      <c r="AH8" s="3202"/>
      <c r="AI8" s="3048" t="s">
        <v>67</v>
      </c>
      <c r="AJ8" s="3202"/>
      <c r="AK8" s="3048" t="s">
        <v>67</v>
      </c>
      <c r="AL8" s="260"/>
      <c r="AM8" s="3194" t="s">
        <v>445</v>
      </c>
      <c r="AN8" s="445" t="e">
        <f ca="1">STRCHECKDATE(V9:AL9)</f>
        <v>#NAME?</v>
      </c>
      <c r="AO8" s="434"/>
      <c r="AP8" s="434" t="str">
        <f t="shared" si="0"/>
        <v/>
      </c>
      <c r="AQ8" s="434"/>
      <c r="AR8" s="434"/>
      <c r="AS8" s="1072">
        <v>0</v>
      </c>
    </row>
    <row r="9" spans="1:45" ht="14.25" hidden="1" customHeight="1">
      <c r="A9" s="1280"/>
      <c r="B9" s="1280"/>
      <c r="C9" s="1280"/>
      <c r="D9" s="1280"/>
      <c r="E9" s="3200"/>
      <c r="F9" s="3200"/>
      <c r="G9" s="3200"/>
      <c r="H9" s="3200"/>
      <c r="I9" s="3220"/>
      <c r="J9" s="3220"/>
      <c r="K9" s="3197"/>
      <c r="L9" s="1281"/>
      <c r="M9" s="471"/>
      <c r="N9" s="1283"/>
      <c r="O9" s="1283"/>
      <c r="P9" s="3198"/>
      <c r="Q9" s="3198"/>
      <c r="R9" s="291"/>
      <c r="S9" s="1259"/>
      <c r="T9" s="235"/>
      <c r="U9" s="235"/>
      <c r="V9" s="260"/>
      <c r="W9" s="260"/>
      <c r="X9" s="260"/>
      <c r="Y9" s="263" t="str">
        <f>Z8&amp;"-"&amp;AB8</f>
        <v>-</v>
      </c>
      <c r="Z9" s="3203"/>
      <c r="AA9" s="3048"/>
      <c r="AB9" s="3203"/>
      <c r="AC9" s="3048"/>
      <c r="AD9" s="260"/>
      <c r="AE9" s="260"/>
      <c r="AF9" s="260"/>
      <c r="AG9" s="263" t="str">
        <f>AH8&amp;"-"&amp;AJ8</f>
        <v>-</v>
      </c>
      <c r="AH9" s="3203"/>
      <c r="AI9" s="3048"/>
      <c r="AJ9" s="3203"/>
      <c r="AK9" s="3048"/>
      <c r="AL9" s="260"/>
      <c r="AM9" s="3195"/>
      <c r="AO9" s="434"/>
      <c r="AP9" s="434" t="str">
        <f t="shared" si="0"/>
        <v/>
      </c>
      <c r="AQ9" s="434"/>
      <c r="AR9" s="434"/>
      <c r="AS9" s="1072">
        <v>0</v>
      </c>
    </row>
    <row r="10" spans="1:45" ht="15" hidden="1" customHeight="1">
      <c r="A10" s="1280"/>
      <c r="B10" s="1280"/>
      <c r="C10" s="1280"/>
      <c r="D10" s="1280"/>
      <c r="E10" s="3200"/>
      <c r="F10" s="3200"/>
      <c r="G10" s="3200"/>
      <c r="H10" s="3200"/>
      <c r="I10" s="3220"/>
      <c r="J10" s="3197"/>
      <c r="K10" s="1280"/>
      <c r="L10" s="1281"/>
      <c r="M10" s="471"/>
      <c r="N10" s="1283"/>
      <c r="P10" s="3198"/>
      <c r="Q10" s="3198"/>
      <c r="R10" s="290"/>
      <c r="S10" s="1195"/>
      <c r="T10" s="222" t="s">
        <v>446</v>
      </c>
      <c r="U10" s="301"/>
      <c r="V10" s="301"/>
      <c r="W10" s="301"/>
      <c r="X10" s="301"/>
      <c r="Y10" s="301"/>
      <c r="Z10" s="301"/>
      <c r="AA10" s="301"/>
      <c r="AB10" s="301"/>
      <c r="AC10" s="301"/>
      <c r="AD10" s="301"/>
      <c r="AE10" s="301"/>
      <c r="AF10" s="301"/>
      <c r="AG10" s="301"/>
      <c r="AH10" s="301"/>
      <c r="AI10" s="301"/>
      <c r="AJ10" s="301"/>
      <c r="AK10" s="301"/>
      <c r="AL10" s="259"/>
      <c r="AM10" s="3196"/>
      <c r="AO10" s="434"/>
      <c r="AP10" s="434" t="str">
        <f t="shared" si="0"/>
        <v>Добавить вид теплоносителя (параметры теплоносителя)</v>
      </c>
      <c r="AQ10" s="434"/>
      <c r="AR10" s="434"/>
      <c r="AS10" s="1072">
        <v>0</v>
      </c>
    </row>
    <row r="11" spans="1:45" ht="11.25" hidden="1" customHeight="1">
      <c r="A11" s="1280"/>
      <c r="B11" s="1280"/>
      <c r="C11" s="1280"/>
      <c r="D11" s="1280"/>
      <c r="E11" s="3200"/>
      <c r="F11" s="3200"/>
      <c r="G11" s="3200"/>
      <c r="H11" s="3200"/>
      <c r="I11" s="3197"/>
      <c r="J11" s="1280"/>
      <c r="K11" s="1280"/>
      <c r="L11" s="1281"/>
      <c r="M11" s="471"/>
      <c r="P11" s="3198"/>
      <c r="Q11" s="1248"/>
      <c r="R11" s="290"/>
      <c r="S11" s="1195"/>
      <c r="T11" s="299" t="s">
        <v>447</v>
      </c>
      <c r="U11" s="301"/>
      <c r="V11" s="301"/>
      <c r="W11" s="301"/>
      <c r="X11" s="301"/>
      <c r="Y11" s="301"/>
      <c r="Z11" s="301"/>
      <c r="AA11" s="301"/>
      <c r="AB11" s="301"/>
      <c r="AC11" s="300"/>
      <c r="AD11" s="301"/>
      <c r="AE11" s="301"/>
      <c r="AF11" s="301"/>
      <c r="AG11" s="301"/>
      <c r="AH11" s="301"/>
      <c r="AI11" s="301"/>
      <c r="AJ11" s="301"/>
      <c r="AK11" s="300"/>
      <c r="AL11" s="301"/>
      <c r="AM11" s="238"/>
      <c r="AO11" s="434"/>
      <c r="AP11" s="434" t="str">
        <f t="shared" si="0"/>
        <v>Добавить группу потребителей</v>
      </c>
      <c r="AQ11" s="434"/>
      <c r="AR11" s="434"/>
      <c r="AS11" s="1072">
        <v>0</v>
      </c>
    </row>
    <row r="12" spans="1:45" ht="14.25" hidden="1" customHeight="1">
      <c r="A12" s="1280"/>
      <c r="B12" s="1280"/>
      <c r="C12" s="1280"/>
      <c r="D12" s="1280"/>
      <c r="E12" s="3200"/>
      <c r="F12" s="3200"/>
      <c r="G12" s="3200"/>
      <c r="H12" s="3199"/>
      <c r="I12" s="1280"/>
      <c r="J12" s="1280"/>
      <c r="K12" s="1280"/>
      <c r="L12" s="1281"/>
      <c r="M12" s="1282"/>
      <c r="N12" s="1282"/>
      <c r="O12" s="471"/>
      <c r="P12" s="294"/>
      <c r="Q12" s="309"/>
      <c r="R12" s="289"/>
      <c r="S12" s="1303"/>
      <c r="T12" s="1304"/>
      <c r="U12" s="1305"/>
      <c r="V12" s="1305"/>
      <c r="W12" s="1305"/>
      <c r="X12" s="1305"/>
      <c r="Y12" s="1305"/>
      <c r="Z12" s="1305"/>
      <c r="AA12" s="1305"/>
      <c r="AB12" s="1305"/>
      <c r="AC12" s="1305"/>
      <c r="AD12" s="1305"/>
      <c r="AE12" s="1305"/>
      <c r="AF12" s="1305"/>
      <c r="AG12" s="1305"/>
      <c r="AH12" s="1305"/>
      <c r="AI12" s="1305"/>
      <c r="AJ12" s="1305"/>
      <c r="AK12" s="1305"/>
      <c r="AL12" s="1305"/>
      <c r="AM12" s="1306"/>
      <c r="AO12" s="434"/>
      <c r="AP12" s="434" t="str">
        <f t="shared" si="0"/>
        <v/>
      </c>
      <c r="AQ12" s="434"/>
      <c r="AR12" s="434"/>
      <c r="AS12" s="1072">
        <v>0</v>
      </c>
    </row>
    <row r="13" spans="1:45" s="2017" customFormat="1" ht="14.25" hidden="1" customHeight="1">
      <c r="A13" s="1231"/>
      <c r="B13" s="1231"/>
      <c r="C13" s="1231"/>
      <c r="D13" s="1231"/>
      <c r="E13" s="3200"/>
      <c r="F13" s="3200"/>
      <c r="G13" s="3199"/>
      <c r="H13" s="1231"/>
      <c r="I13" s="1231"/>
      <c r="J13" s="1231"/>
      <c r="K13" s="1231"/>
      <c r="L13" s="1256"/>
      <c r="M13" s="1232"/>
      <c r="N13" s="1232"/>
      <c r="P13" s="1233"/>
      <c r="Q13" s="1234"/>
      <c r="R13" s="1233"/>
      <c r="S13" s="1235"/>
      <c r="T13" s="1236" t="s">
        <v>180</v>
      </c>
      <c r="U13" s="1237"/>
      <c r="V13" s="1237"/>
      <c r="W13" s="1237"/>
      <c r="X13" s="1237"/>
      <c r="Y13" s="1237"/>
      <c r="Z13" s="1237"/>
      <c r="AA13" s="1237"/>
      <c r="AB13" s="1237"/>
      <c r="AC13" s="1237"/>
      <c r="AD13" s="1237"/>
      <c r="AE13" s="1237"/>
      <c r="AF13" s="1237"/>
      <c r="AG13" s="1237"/>
      <c r="AH13" s="1237"/>
      <c r="AI13" s="1237"/>
      <c r="AJ13" s="1237"/>
      <c r="AK13" s="1237"/>
      <c r="AL13" s="1237"/>
      <c r="AM13" s="1237"/>
      <c r="AO13" s="717"/>
      <c r="AP13" s="717" t="str">
        <f t="shared" si="0"/>
        <v>Добавить источник для дифференциации</v>
      </c>
      <c r="AQ13" s="717"/>
      <c r="AR13" s="717"/>
      <c r="AS13" s="452">
        <v>0</v>
      </c>
    </row>
    <row r="14" spans="1:45" s="2017" customFormat="1" ht="14.25" hidden="1" customHeight="1">
      <c r="A14" s="1231"/>
      <c r="B14" s="1231"/>
      <c r="C14" s="1231"/>
      <c r="D14" s="1231"/>
      <c r="E14" s="3200"/>
      <c r="F14" s="3199"/>
      <c r="G14" s="1231"/>
      <c r="H14" s="1231"/>
      <c r="I14" s="1231"/>
      <c r="J14" s="1231"/>
      <c r="K14" s="1231"/>
      <c r="L14" s="1256"/>
      <c r="M14" s="1238"/>
      <c r="N14" s="1238"/>
      <c r="P14" s="1233"/>
      <c r="Q14" s="1234"/>
      <c r="R14" s="1233"/>
      <c r="S14" s="1239"/>
      <c r="T14" s="1240" t="s">
        <v>181</v>
      </c>
      <c r="U14" s="1241"/>
      <c r="V14" s="1241"/>
      <c r="W14" s="1241"/>
      <c r="X14" s="1241"/>
      <c r="Y14" s="1241"/>
      <c r="Z14" s="1241"/>
      <c r="AA14" s="1241"/>
      <c r="AB14" s="1241"/>
      <c r="AC14" s="1241"/>
      <c r="AD14" s="1241"/>
      <c r="AE14" s="1241"/>
      <c r="AF14" s="1241"/>
      <c r="AG14" s="1241"/>
      <c r="AH14" s="1241"/>
      <c r="AI14" s="1241"/>
      <c r="AJ14" s="1241"/>
      <c r="AK14" s="1241"/>
      <c r="AL14" s="1241"/>
      <c r="AM14" s="1241"/>
      <c r="AO14" s="717"/>
      <c r="AP14" s="717" t="str">
        <f t="shared" si="0"/>
        <v>Добавить централизованную систему для дифференциации</v>
      </c>
      <c r="AQ14" s="717"/>
      <c r="AR14" s="717"/>
      <c r="AS14" s="452">
        <v>0</v>
      </c>
    </row>
    <row r="15" spans="1:45" s="2017" customFormat="1" ht="14.25" hidden="1" customHeight="1">
      <c r="A15" s="1231"/>
      <c r="B15" s="1231"/>
      <c r="C15" s="1231"/>
      <c r="D15" s="1231"/>
      <c r="E15" s="3199"/>
      <c r="F15" s="1231"/>
      <c r="G15" s="1231"/>
      <c r="H15" s="1231"/>
      <c r="I15" s="1231"/>
      <c r="J15" s="1231"/>
      <c r="K15" s="1231"/>
      <c r="L15" s="1256"/>
      <c r="M15" s="1238"/>
      <c r="N15" s="1238"/>
      <c r="P15" s="1233"/>
      <c r="Q15" s="1234"/>
      <c r="R15" s="1233"/>
      <c r="S15" s="1239"/>
      <c r="T15" s="1242" t="s">
        <v>188</v>
      </c>
      <c r="U15" s="1241"/>
      <c r="V15" s="1241"/>
      <c r="W15" s="1241"/>
      <c r="X15" s="1241"/>
      <c r="Y15" s="1241"/>
      <c r="Z15" s="1241"/>
      <c r="AA15" s="1241"/>
      <c r="AB15" s="1241"/>
      <c r="AC15" s="1241"/>
      <c r="AD15" s="1241"/>
      <c r="AE15" s="1241"/>
      <c r="AF15" s="1241"/>
      <c r="AG15" s="1241"/>
      <c r="AH15" s="1241"/>
      <c r="AI15" s="1241"/>
      <c r="AJ15" s="1241"/>
      <c r="AK15" s="1241"/>
      <c r="AL15" s="1241"/>
      <c r="AM15" s="1241"/>
      <c r="AO15" s="717"/>
      <c r="AP15" s="717" t="str">
        <f t="shared" si="0"/>
        <v>Добавить территорию для дифференциации</v>
      </c>
      <c r="AQ15" s="717"/>
      <c r="AR15" s="717"/>
      <c r="AS15" s="452">
        <v>0</v>
      </c>
    </row>
    <row r="16" spans="1:45" ht="14.25" hidden="1" customHeight="1">
      <c r="AC16" s="262"/>
      <c r="AK16" s="262"/>
      <c r="AS16" s="1072">
        <v>0</v>
      </c>
    </row>
    <row r="17" spans="1:45" ht="14.25" hidden="1" customHeight="1">
      <c r="AD17" s="1277"/>
      <c r="AE17" s="1277"/>
      <c r="AF17" s="1277"/>
      <c r="AG17" s="1278"/>
      <c r="AH17" s="3204"/>
      <c r="AI17" s="3205" t="s">
        <v>67</v>
      </c>
      <c r="AJ17" s="3204"/>
      <c r="AK17" s="3205" t="s">
        <v>67</v>
      </c>
      <c r="AS17" s="1072">
        <v>0</v>
      </c>
    </row>
    <row r="18" spans="1:45" ht="14.25" hidden="1" customHeight="1">
      <c r="AD18" s="1277"/>
      <c r="AE18" s="1277"/>
      <c r="AF18" s="1277"/>
      <c r="AG18" s="263" t="str">
        <f>AH17&amp;"-"&amp;AJ17</f>
        <v>-</v>
      </c>
      <c r="AH18" s="3205"/>
      <c r="AI18" s="3205"/>
      <c r="AJ18" s="3205"/>
      <c r="AK18" s="3205"/>
      <c r="AS18" s="1072">
        <v>0</v>
      </c>
    </row>
    <row r="19" spans="1:45" ht="14.25" hidden="1" customHeight="1">
      <c r="AK19" s="262"/>
      <c r="AS19" s="1072">
        <v>0</v>
      </c>
    </row>
    <row r="20" spans="1:45" s="2016" customFormat="1" ht="22.5" hidden="1" customHeight="1">
      <c r="L20" s="1246"/>
      <c r="M20" s="1279"/>
      <c r="N20" s="1279"/>
      <c r="O20" s="1284" t="s">
        <v>449</v>
      </c>
      <c r="P20" s="1279"/>
      <c r="Q20" s="1288"/>
      <c r="R20" s="1288"/>
      <c r="S20" s="663"/>
      <c r="Z20" s="1284"/>
      <c r="AB20" s="1284"/>
      <c r="AC20" s="1283"/>
      <c r="AH20" s="1284"/>
      <c r="AJ20" s="1284"/>
      <c r="AK20" s="1283"/>
      <c r="AN20" s="445"/>
      <c r="AO20" s="445"/>
      <c r="AP20" s="445"/>
      <c r="AQ20" s="445"/>
      <c r="AR20" s="445"/>
      <c r="AS20" s="1077">
        <v>0</v>
      </c>
    </row>
    <row r="21" spans="1:45" s="2016" customFormat="1" ht="14.25" hidden="1" customHeight="1">
      <c r="L21" s="1246"/>
      <c r="M21" s="1279"/>
      <c r="N21" s="1279"/>
      <c r="O21" s="1279"/>
      <c r="P21" s="1279"/>
      <c r="Q21" s="1288"/>
      <c r="R21" s="1288"/>
      <c r="S21" s="663"/>
      <c r="AC21" s="1283"/>
      <c r="AK21" s="1283"/>
      <c r="AN21" s="445"/>
      <c r="AO21" s="445"/>
      <c r="AP21" s="445"/>
      <c r="AQ21" s="445"/>
      <c r="AR21" s="445"/>
      <c r="AS21" s="1077">
        <v>0</v>
      </c>
    </row>
    <row r="22" spans="1:45" s="2016" customFormat="1" ht="14.25" hidden="1" customHeight="1">
      <c r="L22" s="1246"/>
      <c r="M22" s="1279"/>
      <c r="N22" s="1279"/>
      <c r="O22" s="1281" t="s">
        <v>450</v>
      </c>
      <c r="P22" s="1279"/>
      <c r="Q22" s="1288"/>
      <c r="R22" s="1288"/>
      <c r="S22" s="663"/>
      <c r="T22" s="1077" t="s">
        <v>451</v>
      </c>
      <c r="AA22" s="121" t="s">
        <v>452</v>
      </c>
      <c r="AC22" s="121" t="s">
        <v>453</v>
      </c>
      <c r="AD22" s="1077" t="s">
        <v>451</v>
      </c>
      <c r="AI22" s="121" t="s">
        <v>454</v>
      </c>
      <c r="AK22" s="121" t="s">
        <v>453</v>
      </c>
      <c r="AN22" s="445"/>
      <c r="AO22" s="445"/>
      <c r="AP22" s="445"/>
      <c r="AQ22" s="445"/>
      <c r="AR22" s="445"/>
      <c r="AS22" s="1077">
        <v>0</v>
      </c>
    </row>
    <row r="23" spans="1:45" ht="14.25" hidden="1" customHeight="1">
      <c r="O23" s="1281"/>
      <c r="AS23" s="1072">
        <v>0</v>
      </c>
    </row>
    <row r="24" spans="1:45" ht="14.25" hidden="1" customHeight="1">
      <c r="O24" s="1281"/>
      <c r="AS24" s="1072">
        <v>0</v>
      </c>
    </row>
    <row r="25" spans="1:45" ht="14.65" customHeight="1">
      <c r="Q25" s="310"/>
      <c r="R25" s="310"/>
      <c r="S25" s="1192"/>
      <c r="T25" s="297"/>
      <c r="U25" s="297"/>
      <c r="V25" s="443"/>
      <c r="W25" s="443"/>
      <c r="X25" s="443"/>
      <c r="Y25" s="443"/>
      <c r="Z25" s="443"/>
      <c r="AA25" s="443"/>
      <c r="AB25" s="443"/>
      <c r="AC25" s="443"/>
      <c r="AD25" s="443"/>
      <c r="AE25" s="443"/>
      <c r="AF25" s="443"/>
      <c r="AG25" s="443"/>
      <c r="AH25" s="443"/>
      <c r="AI25" s="443"/>
      <c r="AJ25" s="443"/>
      <c r="AK25" s="443"/>
      <c r="AS25" s="1072">
        <v>14</v>
      </c>
    </row>
    <row r="26" spans="1:45" ht="53.5" customHeight="1">
      <c r="Q26" s="310"/>
      <c r="R26" s="310"/>
      <c r="S26" s="3183"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3183"/>
      <c r="U26" s="3183"/>
      <c r="V26" s="3183"/>
      <c r="W26" s="3183"/>
      <c r="X26" s="3183"/>
      <c r="Y26" s="3183"/>
      <c r="Z26" s="3183"/>
      <c r="AA26" s="3183"/>
      <c r="AB26" s="3183"/>
      <c r="AC26" s="3183"/>
      <c r="AD26" s="3183"/>
      <c r="AE26" s="3183"/>
      <c r="AF26" s="3183"/>
      <c r="AG26" s="3183"/>
      <c r="AH26" s="3183"/>
      <c r="AI26" s="3183"/>
      <c r="AJ26" s="3183"/>
      <c r="AK26" s="1160"/>
      <c r="AS26" s="1072">
        <v>51</v>
      </c>
    </row>
    <row r="27" spans="1:45" ht="14.65" customHeight="1">
      <c r="Q27" s="310"/>
      <c r="R27" s="310"/>
      <c r="S27" s="3131" t="str">
        <f>IF(org=0,"Не определено",org)</f>
        <v>ООО "РСО"</v>
      </c>
      <c r="T27" s="3131"/>
      <c r="U27" s="3131"/>
      <c r="V27" s="3131"/>
      <c r="W27" s="3131"/>
      <c r="X27" s="3131"/>
      <c r="Y27" s="3131"/>
      <c r="Z27" s="3131"/>
      <c r="AA27" s="3131"/>
      <c r="AB27" s="3131"/>
      <c r="AC27" s="3131"/>
      <c r="AD27" s="3131"/>
      <c r="AE27" s="3131"/>
      <c r="AF27" s="3131"/>
      <c r="AG27" s="3131"/>
      <c r="AH27" s="3131"/>
      <c r="AI27" s="3131"/>
      <c r="AJ27" s="3131"/>
      <c r="AK27" s="1160"/>
      <c r="AS27" s="1072">
        <v>14</v>
      </c>
    </row>
    <row r="28" spans="1:45" ht="14.25" hidden="1" customHeight="1">
      <c r="Q28" s="310"/>
      <c r="R28" s="310"/>
      <c r="S28" s="1192"/>
      <c r="T28" s="297"/>
      <c r="U28" s="297"/>
      <c r="V28" s="257"/>
      <c r="W28" s="257"/>
      <c r="X28" s="257"/>
      <c r="Y28" s="257"/>
      <c r="Z28" s="257"/>
      <c r="AA28" s="257"/>
      <c r="AB28" s="257"/>
      <c r="AC28" s="257"/>
      <c r="AD28" s="257"/>
      <c r="AE28" s="257"/>
      <c r="AF28" s="257"/>
      <c r="AG28" s="257"/>
      <c r="AH28" s="257"/>
      <c r="AI28" s="257"/>
      <c r="AJ28" s="257"/>
      <c r="AK28" s="257"/>
      <c r="AL28" s="443"/>
      <c r="AS28" s="1072">
        <v>0</v>
      </c>
    </row>
    <row r="29" spans="1:45" s="2028" customFormat="1" ht="25.5" hidden="1" customHeight="1">
      <c r="A29" s="1285"/>
      <c r="B29" s="1285"/>
      <c r="C29" s="1285"/>
      <c r="D29" s="1285"/>
      <c r="E29" s="1285"/>
      <c r="F29" s="1285"/>
      <c r="G29" s="1285"/>
      <c r="H29" s="1285"/>
      <c r="I29" s="1285"/>
      <c r="J29" s="1285"/>
      <c r="K29" s="1285"/>
      <c r="L29" s="1286"/>
      <c r="M29" s="1285"/>
      <c r="N29" s="1285"/>
      <c r="O29" s="1285"/>
      <c r="S29" s="3191" t="s">
        <v>42</v>
      </c>
      <c r="T29" s="3191"/>
      <c r="U29" s="1289"/>
      <c r="V29" s="3192" t="str">
        <f>IF(TITLE_NAME_OR_PR_CHANGE="",IF(TITLE_NAME_OR_PR="","",TITLE_NAME_OR_PR),TITLE_NAME_OR_PR_CHANGE)</f>
        <v/>
      </c>
      <c r="W29" s="3192"/>
      <c r="X29" s="3192"/>
      <c r="Y29" s="3192"/>
      <c r="Z29" s="3192"/>
      <c r="AA29" s="3192"/>
      <c r="AB29" s="3192"/>
      <c r="AC29" s="261"/>
      <c r="AD29" s="3192" t="str">
        <f>IF(TITLE_NAME_OR_PR_CHANGE="",IF(TITLE_NAME_OR_PR="","",TITLE_NAME_OR_PR),TITLE_NAME_OR_PR_CHANGE)</f>
        <v/>
      </c>
      <c r="AE29" s="3192"/>
      <c r="AF29" s="3192"/>
      <c r="AG29" s="3192"/>
      <c r="AH29" s="3192"/>
      <c r="AI29" s="3192"/>
      <c r="AJ29" s="3192"/>
      <c r="AK29" s="261"/>
      <c r="AL29" s="261"/>
      <c r="AM29" s="215"/>
      <c r="AN29" s="302"/>
      <c r="AO29" s="302"/>
      <c r="AP29" s="302"/>
      <c r="AQ29" s="302"/>
      <c r="AR29" s="302"/>
      <c r="AS29" s="352">
        <v>0</v>
      </c>
    </row>
    <row r="30" spans="1:45" s="2028" customFormat="1" ht="18.75" hidden="1" customHeight="1">
      <c r="A30" s="1285"/>
      <c r="B30" s="1285"/>
      <c r="C30" s="1285"/>
      <c r="D30" s="1285"/>
      <c r="E30" s="1285"/>
      <c r="F30" s="1285"/>
      <c r="G30" s="1285"/>
      <c r="H30" s="1285"/>
      <c r="I30" s="1285"/>
      <c r="J30" s="1285"/>
      <c r="K30" s="1285"/>
      <c r="L30" s="1286"/>
      <c r="M30" s="1285"/>
      <c r="N30" s="1285"/>
      <c r="O30" s="1285"/>
      <c r="S30" s="3191" t="s">
        <v>455</v>
      </c>
      <c r="T30" s="3191"/>
      <c r="U30" s="1289"/>
      <c r="V30" s="3201">
        <f>IF(TITLE_DATE_PR_CHANGE="",IF(TITLE_DATE_PR="","",TITLE_DATE_PR),TITLE_DATE_PR_CHANGE)</f>
        <v>45408</v>
      </c>
      <c r="W30" s="3201"/>
      <c r="X30" s="3201"/>
      <c r="Y30" s="3201"/>
      <c r="Z30" s="3201"/>
      <c r="AA30" s="3201"/>
      <c r="AB30" s="3201"/>
      <c r="AC30" s="261"/>
      <c r="AD30" s="3201">
        <f>IF(TITLE_DATE_PR_CHANGE="",IF(TITLE_DATE_PR="","",TITLE_DATE_PR),TITLE_DATE_PR_CHANGE)</f>
        <v>45408</v>
      </c>
      <c r="AE30" s="3201"/>
      <c r="AF30" s="3201"/>
      <c r="AG30" s="3201"/>
      <c r="AH30" s="3201"/>
      <c r="AI30" s="3201"/>
      <c r="AJ30" s="3201"/>
      <c r="AK30" s="261"/>
      <c r="AL30" s="261"/>
      <c r="AM30" s="215"/>
      <c r="AN30" s="302"/>
      <c r="AO30" s="302"/>
      <c r="AP30" s="302"/>
      <c r="AQ30" s="302"/>
      <c r="AR30" s="302"/>
      <c r="AS30" s="352">
        <v>0</v>
      </c>
    </row>
    <row r="31" spans="1:45" s="2028" customFormat="1" ht="18.75" hidden="1" customHeight="1">
      <c r="A31" s="1285"/>
      <c r="B31" s="1285"/>
      <c r="C31" s="1285"/>
      <c r="D31" s="1285"/>
      <c r="E31" s="1285"/>
      <c r="F31" s="1285"/>
      <c r="G31" s="1285"/>
      <c r="H31" s="1285"/>
      <c r="I31" s="1285"/>
      <c r="J31" s="1285"/>
      <c r="K31" s="1285"/>
      <c r="L31" s="1286"/>
      <c r="M31" s="1285"/>
      <c r="N31" s="1285"/>
      <c r="O31" s="1285"/>
      <c r="S31" s="3191" t="s">
        <v>456</v>
      </c>
      <c r="T31" s="3191"/>
      <c r="U31" s="1289"/>
      <c r="V31" s="3192" t="str">
        <f>IF(TITLE_NUMBER_PR_CHANGE="",IF(TITLE_NUMBER_PR="","",TITLE_NUMBER_PR),TITLE_NUMBER_PR_CHANGE)</f>
        <v>04-24/132, 04-24/131</v>
      </c>
      <c r="W31" s="3192"/>
      <c r="X31" s="3192"/>
      <c r="Y31" s="3192"/>
      <c r="Z31" s="3192"/>
      <c r="AA31" s="3192"/>
      <c r="AB31" s="3192"/>
      <c r="AC31" s="261"/>
      <c r="AD31" s="3192" t="str">
        <f>IF(TITLE_NUMBER_PR_CHANGE="",IF(TITLE_NUMBER_PR="","",TITLE_NUMBER_PR),TITLE_NUMBER_PR_CHANGE)</f>
        <v>04-24/132, 04-24/131</v>
      </c>
      <c r="AE31" s="3192"/>
      <c r="AF31" s="3192"/>
      <c r="AG31" s="3192"/>
      <c r="AH31" s="3192"/>
      <c r="AI31" s="3192"/>
      <c r="AJ31" s="3192"/>
      <c r="AK31" s="261"/>
      <c r="AL31" s="261"/>
      <c r="AM31" s="215"/>
      <c r="AN31" s="302"/>
      <c r="AO31" s="302"/>
      <c r="AP31" s="302"/>
      <c r="AQ31" s="302"/>
      <c r="AR31" s="302"/>
      <c r="AS31" s="352">
        <v>0</v>
      </c>
    </row>
    <row r="32" spans="1:45" s="2028" customFormat="1" ht="18.75" hidden="1" customHeight="1">
      <c r="A32" s="1285"/>
      <c r="B32" s="1285"/>
      <c r="C32" s="1285"/>
      <c r="D32" s="1285"/>
      <c r="E32" s="1285"/>
      <c r="F32" s="1285"/>
      <c r="G32" s="1285"/>
      <c r="H32" s="1285"/>
      <c r="I32" s="1285"/>
      <c r="J32" s="1285"/>
      <c r="K32" s="1285"/>
      <c r="L32" s="1286"/>
      <c r="M32" s="1285"/>
      <c r="N32" s="1285"/>
      <c r="O32" s="1285"/>
      <c r="S32" s="3191" t="s">
        <v>43</v>
      </c>
      <c r="T32" s="3191"/>
      <c r="U32" s="1289"/>
      <c r="V32" s="3192" t="str">
        <f>IF(TITLE_IST_PUB_CHANGE="",IF(TITLE_IST_PUB="","",TITLE_IST_PUB),TITLE_IST_PUB_CHANGE)</f>
        <v/>
      </c>
      <c r="W32" s="3192"/>
      <c r="X32" s="3192"/>
      <c r="Y32" s="3192"/>
      <c r="Z32" s="3192"/>
      <c r="AA32" s="3192"/>
      <c r="AB32" s="3192"/>
      <c r="AC32" s="261"/>
      <c r="AD32" s="3192" t="str">
        <f>IF(TITLE_IST_PUB_CHANGE="",IF(TITLE_IST_PUB="","",TITLE_IST_PUB),TITLE_IST_PUB_CHANGE)</f>
        <v/>
      </c>
      <c r="AE32" s="3192"/>
      <c r="AF32" s="3192"/>
      <c r="AG32" s="3192"/>
      <c r="AH32" s="3192"/>
      <c r="AI32" s="3192"/>
      <c r="AJ32" s="3192"/>
      <c r="AK32" s="261"/>
      <c r="AL32" s="261"/>
      <c r="AM32" s="215"/>
      <c r="AN32" s="302"/>
      <c r="AO32" s="302"/>
      <c r="AP32" s="302"/>
      <c r="AQ32" s="302"/>
      <c r="AR32" s="302"/>
      <c r="AS32" s="352">
        <v>0</v>
      </c>
    </row>
    <row r="33" spans="1:45" ht="14.25" customHeight="1">
      <c r="Q33" s="310"/>
      <c r="R33" s="310"/>
      <c r="S33" s="1192"/>
      <c r="T33" s="297"/>
      <c r="U33" s="297"/>
      <c r="V33" s="257"/>
      <c r="W33" s="257"/>
      <c r="X33" s="257"/>
      <c r="Y33" s="257"/>
      <c r="Z33" s="257"/>
      <c r="AA33" s="257"/>
      <c r="AB33" s="257"/>
      <c r="AC33" s="257"/>
      <c r="AD33" s="257"/>
      <c r="AE33" s="257"/>
      <c r="AF33" s="257"/>
      <c r="AG33" s="257"/>
      <c r="AH33" s="257"/>
      <c r="AI33" s="257"/>
      <c r="AJ33" s="257"/>
      <c r="AK33" s="257"/>
      <c r="AL33" s="443"/>
      <c r="AS33" s="1072">
        <v>0</v>
      </c>
    </row>
    <row r="34" spans="1:45" s="2028" customFormat="1" ht="18.75" customHeight="1">
      <c r="A34" s="1285"/>
      <c r="B34" s="1285"/>
      <c r="C34" s="1285"/>
      <c r="D34" s="1285"/>
      <c r="E34" s="1285"/>
      <c r="F34" s="1285"/>
      <c r="G34" s="1285"/>
      <c r="H34" s="1285"/>
      <c r="I34" s="1285"/>
      <c r="J34" s="1285"/>
      <c r="K34" s="1285"/>
      <c r="L34" s="1286"/>
      <c r="M34" s="1285"/>
      <c r="N34" s="1285"/>
      <c r="O34" s="1285"/>
      <c r="S34" s="3191" t="s">
        <v>457</v>
      </c>
      <c r="T34" s="3191"/>
      <c r="U34" s="1289"/>
      <c r="V34" s="3201">
        <f>IF(TITLE_DATE_PR_CHANGE="",IF(TITLE_DATE_PR="","",TITLE_DATE_PR),TITLE_DATE_PR_CHANGE)</f>
        <v>45408</v>
      </c>
      <c r="W34" s="3201"/>
      <c r="X34" s="3201"/>
      <c r="Y34" s="3201"/>
      <c r="Z34" s="3201"/>
      <c r="AA34" s="3201"/>
      <c r="AB34" s="3201"/>
      <c r="AC34" s="261"/>
      <c r="AD34" s="3201">
        <f>IF(TITLE_DATE_PR_CHANGE="",IF(TITLE_DATE_PR="","",TITLE_DATE_PR),TITLE_DATE_PR_CHANGE)</f>
        <v>45408</v>
      </c>
      <c r="AE34" s="3201"/>
      <c r="AF34" s="3201"/>
      <c r="AG34" s="3201"/>
      <c r="AH34" s="3201"/>
      <c r="AI34" s="3201"/>
      <c r="AJ34" s="3201"/>
      <c r="AK34" s="261"/>
      <c r="AL34" s="261"/>
      <c r="AM34" s="215"/>
      <c r="AN34" s="302"/>
      <c r="AO34" s="302"/>
      <c r="AP34" s="302"/>
      <c r="AQ34" s="302"/>
      <c r="AR34" s="302"/>
      <c r="AS34" s="352">
        <v>0</v>
      </c>
    </row>
    <row r="35" spans="1:45" s="2028" customFormat="1" ht="25.5" customHeight="1">
      <c r="A35" s="1285"/>
      <c r="B35" s="1285"/>
      <c r="C35" s="1285"/>
      <c r="D35" s="1285"/>
      <c r="E35" s="1285"/>
      <c r="F35" s="1285"/>
      <c r="G35" s="1285"/>
      <c r="H35" s="1285"/>
      <c r="I35" s="1285"/>
      <c r="J35" s="1285"/>
      <c r="K35" s="1285"/>
      <c r="L35" s="1286"/>
      <c r="M35" s="1285"/>
      <c r="N35" s="1285"/>
      <c r="O35" s="1285"/>
      <c r="S35" s="3191" t="s">
        <v>458</v>
      </c>
      <c r="T35" s="3191"/>
      <c r="U35" s="1289"/>
      <c r="V35" s="3192" t="str">
        <f>IF(TITLE_NUMBER_PR_CHANGE="",IF(TITLE_NUMBER_PR="","",TITLE_NUMBER_PR),TITLE_NUMBER_PR_CHANGE)</f>
        <v>04-24/132, 04-24/131</v>
      </c>
      <c r="W35" s="3192"/>
      <c r="X35" s="3192"/>
      <c r="Y35" s="3192"/>
      <c r="Z35" s="3192"/>
      <c r="AA35" s="3192"/>
      <c r="AB35" s="3192"/>
      <c r="AC35" s="261"/>
      <c r="AD35" s="3192" t="str">
        <f>IF(TITLE_NUMBER_PR_CHANGE="",IF(TITLE_NUMBER_PR="","",TITLE_NUMBER_PR),TITLE_NUMBER_PR_CHANGE)</f>
        <v>04-24/132, 04-24/131</v>
      </c>
      <c r="AE35" s="3192"/>
      <c r="AF35" s="3192"/>
      <c r="AG35" s="3192"/>
      <c r="AH35" s="3192"/>
      <c r="AI35" s="3192"/>
      <c r="AJ35" s="3192"/>
      <c r="AK35" s="261"/>
      <c r="AL35" s="261"/>
      <c r="AM35" s="215"/>
      <c r="AN35" s="302"/>
      <c r="AO35" s="302"/>
      <c r="AP35" s="302"/>
      <c r="AQ35" s="302"/>
      <c r="AR35" s="302"/>
      <c r="AS35" s="352">
        <v>0</v>
      </c>
    </row>
    <row r="36" spans="1:45" s="2028" customFormat="1" ht="0" hidden="1" customHeight="1">
      <c r="A36" s="1285"/>
      <c r="B36" s="1285"/>
      <c r="C36" s="1285"/>
      <c r="D36" s="1285"/>
      <c r="E36" s="1285"/>
      <c r="F36" s="1285"/>
      <c r="G36" s="1285"/>
      <c r="H36" s="1285"/>
      <c r="I36" s="1285"/>
      <c r="J36" s="1285"/>
      <c r="K36" s="1285"/>
      <c r="L36" s="1286"/>
      <c r="M36" s="1285"/>
      <c r="N36" s="1285"/>
      <c r="O36" s="1285"/>
      <c r="S36" s="258"/>
      <c r="T36" s="258"/>
      <c r="U36" s="1257"/>
      <c r="V36" s="261"/>
      <c r="W36" s="261"/>
      <c r="X36" s="261"/>
      <c r="Y36" s="261"/>
      <c r="Z36" s="261"/>
      <c r="AA36" s="261"/>
      <c r="AB36" s="261"/>
      <c r="AC36" s="213" t="s">
        <v>459</v>
      </c>
      <c r="AD36" s="261"/>
      <c r="AE36" s="261"/>
      <c r="AF36" s="261"/>
      <c r="AG36" s="261"/>
      <c r="AH36" s="261"/>
      <c r="AI36" s="261"/>
      <c r="AJ36" s="261"/>
      <c r="AK36" s="213" t="s">
        <v>459</v>
      </c>
      <c r="AN36" s="302"/>
      <c r="AO36" s="302"/>
      <c r="AP36" s="302"/>
      <c r="AQ36" s="302"/>
      <c r="AR36" s="302"/>
      <c r="AS36" s="352">
        <v>0</v>
      </c>
    </row>
    <row r="37" spans="1:45" ht="14.65" customHeight="1">
      <c r="Q37" s="310"/>
      <c r="R37" s="310"/>
      <c r="S37" s="1192"/>
      <c r="T37" s="297"/>
      <c r="U37" s="1161"/>
      <c r="V37" s="3193"/>
      <c r="W37" s="3193"/>
      <c r="X37" s="3193"/>
      <c r="Y37" s="3193"/>
      <c r="Z37" s="3193"/>
      <c r="AA37" s="3193"/>
      <c r="AB37" s="3193"/>
      <c r="AC37" s="3193"/>
      <c r="AD37" s="3193"/>
      <c r="AE37" s="3193"/>
      <c r="AF37" s="3193"/>
      <c r="AG37" s="3193"/>
      <c r="AH37" s="3193"/>
      <c r="AI37" s="3193"/>
      <c r="AJ37" s="3193"/>
      <c r="AK37" s="3193"/>
      <c r="AS37" s="1072">
        <v>14</v>
      </c>
    </row>
    <row r="38" spans="1:45" ht="14.65" customHeight="1">
      <c r="Q38" s="310"/>
      <c r="R38" s="310"/>
      <c r="S38" s="3067" t="s">
        <v>335</v>
      </c>
      <c r="T38" s="3067"/>
      <c r="U38" s="3067"/>
      <c r="V38" s="3067"/>
      <c r="W38" s="3067"/>
      <c r="X38" s="3067"/>
      <c r="Y38" s="3067"/>
      <c r="Z38" s="3067"/>
      <c r="AA38" s="3067"/>
      <c r="AB38" s="3067"/>
      <c r="AC38" s="3067"/>
      <c r="AD38" s="3067"/>
      <c r="AE38" s="3067"/>
      <c r="AF38" s="3067"/>
      <c r="AG38" s="3067"/>
      <c r="AH38" s="3067"/>
      <c r="AI38" s="3067"/>
      <c r="AJ38" s="3067"/>
      <c r="AK38" s="3067"/>
      <c r="AL38" s="3067"/>
      <c r="AM38" s="3067" t="s">
        <v>336</v>
      </c>
      <c r="AS38" s="1072">
        <v>14</v>
      </c>
    </row>
    <row r="39" spans="1:45" ht="14.65" customHeight="1">
      <c r="Q39" s="310"/>
      <c r="R39" s="310"/>
      <c r="S39" s="3207" t="s">
        <v>89</v>
      </c>
      <c r="T39" s="3159" t="s">
        <v>460</v>
      </c>
      <c r="U39" s="236"/>
      <c r="V39" s="3208" t="s">
        <v>461</v>
      </c>
      <c r="W39" s="3209"/>
      <c r="X39" s="3209"/>
      <c r="Y39" s="3209"/>
      <c r="Z39" s="3209"/>
      <c r="AA39" s="3209"/>
      <c r="AB39" s="3210"/>
      <c r="AC39" s="3211" t="s">
        <v>462</v>
      </c>
      <c r="AD39" s="3208" t="s">
        <v>461</v>
      </c>
      <c r="AE39" s="3209"/>
      <c r="AF39" s="3209"/>
      <c r="AG39" s="3209"/>
      <c r="AH39" s="3209"/>
      <c r="AI39" s="3209"/>
      <c r="AJ39" s="3210"/>
      <c r="AK39" s="3211" t="s">
        <v>463</v>
      </c>
      <c r="AL39" s="3214" t="s">
        <v>464</v>
      </c>
      <c r="AM39" s="3067"/>
      <c r="AS39" s="1072">
        <v>14</v>
      </c>
    </row>
    <row r="40" spans="1:45" ht="35.65" customHeight="1">
      <c r="Q40" s="310"/>
      <c r="R40" s="310"/>
      <c r="S40" s="3207"/>
      <c r="T40" s="3159"/>
      <c r="U40" s="952"/>
      <c r="V40" s="3130" t="s">
        <v>465</v>
      </c>
      <c r="W40" s="3217"/>
      <c r="X40" s="3038" t="s">
        <v>467</v>
      </c>
      <c r="Y40" s="3037"/>
      <c r="Z40" s="3038" t="s">
        <v>468</v>
      </c>
      <c r="AA40" s="3044"/>
      <c r="AB40" s="3037"/>
      <c r="AC40" s="3212"/>
      <c r="AD40" s="3130" t="s">
        <v>483</v>
      </c>
      <c r="AE40" s="3217"/>
      <c r="AF40" s="3038" t="s">
        <v>467</v>
      </c>
      <c r="AG40" s="3037"/>
      <c r="AH40" s="3038" t="s">
        <v>468</v>
      </c>
      <c r="AI40" s="3044"/>
      <c r="AJ40" s="3037"/>
      <c r="AK40" s="3212"/>
      <c r="AL40" s="3215"/>
      <c r="AM40" s="3067"/>
      <c r="AS40" s="1072">
        <v>34</v>
      </c>
    </row>
    <row r="41" spans="1:45" ht="35.65" customHeight="1">
      <c r="A41" s="1287"/>
      <c r="B41" s="1287" t="s">
        <v>149</v>
      </c>
      <c r="C41" s="1287" t="s">
        <v>150</v>
      </c>
      <c r="D41" s="1287" t="s">
        <v>151</v>
      </c>
      <c r="E41" s="1281" t="s">
        <v>469</v>
      </c>
      <c r="F41" s="1281" t="s">
        <v>470</v>
      </c>
      <c r="G41" s="1281" t="s">
        <v>471</v>
      </c>
      <c r="H41" s="1281" t="s">
        <v>472</v>
      </c>
      <c r="I41" s="1281" t="s">
        <v>473</v>
      </c>
      <c r="J41" s="1281" t="s">
        <v>474</v>
      </c>
      <c r="K41" s="1281" t="s">
        <v>475</v>
      </c>
      <c r="L41" s="1281" t="s">
        <v>450</v>
      </c>
      <c r="Q41" s="310"/>
      <c r="R41" s="310"/>
      <c r="S41" s="3207"/>
      <c r="T41" s="3159"/>
      <c r="U41" s="237"/>
      <c r="V41" s="3178"/>
      <c r="W41" s="3218"/>
      <c r="X41" s="1139" t="s">
        <v>476</v>
      </c>
      <c r="Y41" s="1139" t="s">
        <v>477</v>
      </c>
      <c r="Z41" s="1255" t="s">
        <v>478</v>
      </c>
      <c r="AA41" s="3167" t="s">
        <v>479</v>
      </c>
      <c r="AB41" s="3169"/>
      <c r="AC41" s="3213"/>
      <c r="AD41" s="3178"/>
      <c r="AE41" s="3218"/>
      <c r="AF41" s="1139" t="s">
        <v>476</v>
      </c>
      <c r="AG41" s="1139" t="s">
        <v>477</v>
      </c>
      <c r="AH41" s="1255" t="s">
        <v>478</v>
      </c>
      <c r="AI41" s="3167" t="s">
        <v>479</v>
      </c>
      <c r="AJ41" s="3169"/>
      <c r="AK41" s="3213"/>
      <c r="AL41" s="3216"/>
      <c r="AM41" s="3067"/>
      <c r="AS41" s="1072">
        <v>34</v>
      </c>
    </row>
    <row r="42" spans="1:45" s="2212" customFormat="1" ht="11.25" hidden="1" customHeight="1">
      <c r="A42" s="1287"/>
      <c r="B42" s="1287"/>
      <c r="C42" s="1287"/>
      <c r="D42" s="1287"/>
      <c r="E42" s="1287"/>
      <c r="F42" s="1287"/>
      <c r="G42" s="1287"/>
      <c r="H42" s="1287"/>
      <c r="I42" s="1287"/>
      <c r="J42" s="1287"/>
      <c r="K42" s="1287"/>
      <c r="L42" s="1281"/>
      <c r="M42" s="1279"/>
      <c r="N42" s="1279"/>
      <c r="O42" s="1279"/>
      <c r="P42" s="1163"/>
      <c r="Q42" s="1164"/>
      <c r="R42" s="1171">
        <v>1</v>
      </c>
      <c r="S42" s="1194" t="s">
        <v>124</v>
      </c>
      <c r="T42" s="1172" t="s">
        <v>104</v>
      </c>
      <c r="U42" s="1162" t="str">
        <f ca="1">OFFSET(U42,0,-1)</f>
        <v>2</v>
      </c>
      <c r="V42" s="1252">
        <f ca="1">OFFSET(V42,0,-1)+1</f>
        <v>3</v>
      </c>
      <c r="W42" s="1252"/>
      <c r="X42" s="1252">
        <f ca="1">OFFSET(X42,0,-1)+1</f>
        <v>1</v>
      </c>
      <c r="Y42" s="1252">
        <f ca="1">OFFSET(Y42,0,-1)+1</f>
        <v>2</v>
      </c>
      <c r="Z42" s="1252">
        <f ca="1">OFFSET(Z42,0,-1)+1</f>
        <v>3</v>
      </c>
      <c r="AA42" s="3206">
        <f ca="1">OFFSET(AA42,0,-1)+1</f>
        <v>4</v>
      </c>
      <c r="AB42" s="3206"/>
      <c r="AC42" s="1252">
        <f ca="1">OFFSET(AC42,0,-2)+1</f>
        <v>5</v>
      </c>
      <c r="AD42" s="1252">
        <f ca="1">OFFSET(AD42,0,-1)+1</f>
        <v>6</v>
      </c>
      <c r="AE42" s="1252"/>
      <c r="AF42" s="1252">
        <f ca="1">OFFSET(AF42,0,-1)+1</f>
        <v>1</v>
      </c>
      <c r="AG42" s="1252">
        <f ca="1">OFFSET(AG42,0,-1)+1</f>
        <v>2</v>
      </c>
      <c r="AH42" s="1252">
        <f ca="1">OFFSET(AH42,0,-1)+1</f>
        <v>3</v>
      </c>
      <c r="AI42" s="3206">
        <f ca="1">OFFSET(AI42,0,-1)+1</f>
        <v>4</v>
      </c>
      <c r="AJ42" s="3206"/>
      <c r="AK42" s="1252">
        <f ca="1">OFFSET(AK42,0,-2)+1</f>
        <v>5</v>
      </c>
      <c r="AL42" s="1162">
        <f ca="1">OFFSET(AL42,0,-1)</f>
        <v>5</v>
      </c>
      <c r="AM42" s="1252">
        <f ca="1">OFFSET(AM42,0,-1)+1</f>
        <v>6</v>
      </c>
      <c r="AN42" s="445"/>
      <c r="AO42" s="445"/>
      <c r="AP42" s="445"/>
      <c r="AQ42" s="445"/>
      <c r="AR42" s="445"/>
      <c r="AS42" s="430">
        <v>0</v>
      </c>
    </row>
    <row r="43" spans="1:45" ht="22" customHeight="1">
      <c r="A43" s="1280" t="s">
        <v>223</v>
      </c>
      <c r="B43" s="1280"/>
      <c r="C43" s="1280"/>
      <c r="D43" s="1280"/>
      <c r="E43" s="3199">
        <v>1</v>
      </c>
      <c r="F43" s="1280"/>
      <c r="G43" s="1280"/>
      <c r="H43" s="1280"/>
      <c r="I43" s="1280"/>
      <c r="J43" s="1280"/>
      <c r="K43" s="1280"/>
      <c r="L43" s="1281"/>
      <c r="M43" s="1282"/>
      <c r="N43" s="1282"/>
      <c r="O43" s="1282"/>
      <c r="P43" s="295"/>
      <c r="Q43" s="294"/>
      <c r="R43" s="289"/>
      <c r="S43" s="1253">
        <f>INDEX(PT_DIFFERENTIATION_NUM_NTAR,MATCH(A43,PT_DIFFERENTIATION_NTAR_ID,0))</f>
        <v>0</v>
      </c>
      <c r="T43" s="233" t="s">
        <v>137</v>
      </c>
      <c r="U43" s="235"/>
      <c r="V43" s="3185"/>
      <c r="W43" s="3186"/>
      <c r="X43" s="3186"/>
      <c r="Y43" s="3186"/>
      <c r="Z43" s="3186"/>
      <c r="AA43" s="3186"/>
      <c r="AB43" s="3186"/>
      <c r="AC43" s="3187"/>
      <c r="AD43" s="3185" t="str">
        <f>INDEX(PT_DIFFERENTIATION_NTAR,MATCH(A43,PT_DIFFERENTIATION_NTAR_ID,0))</f>
        <v/>
      </c>
      <c r="AE43" s="3186"/>
      <c r="AF43" s="3186"/>
      <c r="AG43" s="3186"/>
      <c r="AH43" s="3186"/>
      <c r="AI43" s="3186"/>
      <c r="AJ43" s="3186"/>
      <c r="AK43" s="3186"/>
      <c r="AL43" s="3187"/>
      <c r="AM43" s="117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4"/>
      <c r="AP43" s="434" t="str">
        <f t="shared" ref="AP43:AP57" si="1">IF(T43="","",T43)</f>
        <v>Наименование тарифа</v>
      </c>
      <c r="AQ43" s="434"/>
      <c r="AR43" s="434"/>
      <c r="AS43" s="1072">
        <v>21</v>
      </c>
    </row>
    <row r="44" spans="1:45" ht="22" customHeight="1">
      <c r="A44" s="1280" t="s">
        <v>223</v>
      </c>
      <c r="B44" s="1280" t="s">
        <v>224</v>
      </c>
      <c r="C44" s="1280"/>
      <c r="D44" s="1280"/>
      <c r="E44" s="3200"/>
      <c r="F44" s="3199">
        <v>1</v>
      </c>
      <c r="G44" s="1280"/>
      <c r="H44" s="1280"/>
      <c r="I44" s="1280"/>
      <c r="J44" s="1280"/>
      <c r="K44" s="1280"/>
      <c r="L44" s="1281"/>
      <c r="M44" s="1282"/>
      <c r="N44" s="1282"/>
      <c r="O44" s="1282"/>
      <c r="P44" s="1249"/>
      <c r="Q44" s="286"/>
      <c r="R44" s="287"/>
      <c r="S44" s="1253" t="str">
        <f>INDEX(PT_DIFFERENTIATION_NUM_TER,MATCH(B44,PT_DIFFERENTIATION_TER_ID,0))</f>
        <v>.</v>
      </c>
      <c r="T44" s="243" t="s">
        <v>432</v>
      </c>
      <c r="U44" s="235"/>
      <c r="V44" s="3185"/>
      <c r="W44" s="3186"/>
      <c r="X44" s="3186"/>
      <c r="Y44" s="3186"/>
      <c r="Z44" s="3186"/>
      <c r="AA44" s="3186"/>
      <c r="AB44" s="3186"/>
      <c r="AC44" s="3187"/>
      <c r="AD44" s="3185" t="str">
        <f>INDEX(PT_DIFFERENTIATION_TER,MATCH(B44,PT_DIFFERENTIATION_TER_ID,0))</f>
        <v/>
      </c>
      <c r="AE44" s="3186"/>
      <c r="AF44" s="3186"/>
      <c r="AG44" s="3186"/>
      <c r="AH44" s="3186"/>
      <c r="AI44" s="3186"/>
      <c r="AJ44" s="3186"/>
      <c r="AK44" s="3186"/>
      <c r="AL44" s="3187"/>
      <c r="AM44" s="1175" t="s">
        <v>433</v>
      </c>
      <c r="AO44" s="434"/>
      <c r="AP44" s="434" t="str">
        <f t="shared" si="1"/>
        <v>Территория действия тарифа</v>
      </c>
      <c r="AQ44" s="434"/>
      <c r="AR44" s="434"/>
      <c r="AS44" s="1072">
        <v>21</v>
      </c>
    </row>
    <row r="45" spans="1:45" ht="24" customHeight="1">
      <c r="A45" s="1280" t="s">
        <v>223</v>
      </c>
      <c r="B45" s="1280" t="s">
        <v>224</v>
      </c>
      <c r="C45" s="1280" t="s">
        <v>225</v>
      </c>
      <c r="D45" s="1280"/>
      <c r="E45" s="3200"/>
      <c r="F45" s="3200"/>
      <c r="G45" s="3199">
        <v>1</v>
      </c>
      <c r="H45" s="1280"/>
      <c r="I45" s="1280"/>
      <c r="J45" s="1280"/>
      <c r="K45" s="1280"/>
      <c r="L45" s="1281"/>
      <c r="M45" s="1282"/>
      <c r="N45" s="1282"/>
      <c r="O45" s="1282"/>
      <c r="P45" s="288"/>
      <c r="Q45" s="286"/>
      <c r="R45" s="287"/>
      <c r="S45" s="1253" t="str">
        <f>INDEX(PT_DIFFERENTIATION_NUM_CS,MATCH(C45,PT_DIFFERENTIATION_CS_ID,0))</f>
        <v>..</v>
      </c>
      <c r="T45" s="244" t="s">
        <v>434</v>
      </c>
      <c r="U45" s="235"/>
      <c r="V45" s="3185"/>
      <c r="W45" s="3186"/>
      <c r="X45" s="3186"/>
      <c r="Y45" s="3186"/>
      <c r="Z45" s="3186"/>
      <c r="AA45" s="3186"/>
      <c r="AB45" s="3186"/>
      <c r="AC45" s="3187"/>
      <c r="AD45" s="3185" t="str">
        <f>INDEX(PT_DIFFERENTIATION_CS,MATCH(C45,PT_DIFFERENTIATION_CS_ID,0))</f>
        <v/>
      </c>
      <c r="AE45" s="3186"/>
      <c r="AF45" s="3186"/>
      <c r="AG45" s="3186"/>
      <c r="AH45" s="3186"/>
      <c r="AI45" s="3186"/>
      <c r="AJ45" s="3186"/>
      <c r="AK45" s="3186"/>
      <c r="AL45" s="3187"/>
      <c r="AM45" s="1175" t="s">
        <v>435</v>
      </c>
      <c r="AO45" s="434"/>
      <c r="AP45" s="434" t="str">
        <f t="shared" si="1"/>
        <v xml:space="preserve">Наименование системы теплоснабжения </v>
      </c>
      <c r="AQ45" s="434"/>
      <c r="AR45" s="434"/>
      <c r="AS45" s="1072">
        <v>23</v>
      </c>
    </row>
    <row r="46" spans="1:45" ht="22" customHeight="1">
      <c r="A46" s="1280" t="s">
        <v>223</v>
      </c>
      <c r="B46" s="1280" t="s">
        <v>224</v>
      </c>
      <c r="C46" s="1280" t="s">
        <v>225</v>
      </c>
      <c r="D46" s="1280" t="s">
        <v>226</v>
      </c>
      <c r="E46" s="3200"/>
      <c r="F46" s="3200"/>
      <c r="G46" s="3200"/>
      <c r="H46" s="3199">
        <v>1</v>
      </c>
      <c r="I46" s="1280"/>
      <c r="J46" s="1280"/>
      <c r="K46" s="1280"/>
      <c r="L46" s="1281"/>
      <c r="M46" s="1282"/>
      <c r="N46" s="1282"/>
      <c r="O46" s="1282"/>
      <c r="P46" s="288"/>
      <c r="Q46" s="286"/>
      <c r="R46" s="287"/>
      <c r="S46" s="1253" t="str">
        <f>INDEX(PT_DIFFERENTIATION_NUM_IST_TE,MATCH(D46,PT_DIFFERENTIATION_IST_TE_ID,0))</f>
        <v>...</v>
      </c>
      <c r="T46" s="245" t="s">
        <v>436</v>
      </c>
      <c r="U46" s="235"/>
      <c r="V46" s="3185"/>
      <c r="W46" s="3186"/>
      <c r="X46" s="3186"/>
      <c r="Y46" s="3186"/>
      <c r="Z46" s="3186"/>
      <c r="AA46" s="3186"/>
      <c r="AB46" s="3186"/>
      <c r="AC46" s="3187"/>
      <c r="AD46" s="3185" t="str">
        <f>INDEX(PT_DIFFERENTIATION_IST_TE,MATCH(D46,PT_DIFFERENTIATION_IST_TE_ID,0))</f>
        <v/>
      </c>
      <c r="AE46" s="3186"/>
      <c r="AF46" s="3186"/>
      <c r="AG46" s="3186"/>
      <c r="AH46" s="3186"/>
      <c r="AI46" s="3186"/>
      <c r="AJ46" s="3186"/>
      <c r="AK46" s="3186"/>
      <c r="AL46" s="3187"/>
      <c r="AM46" s="1175" t="s">
        <v>437</v>
      </c>
      <c r="AO46" s="434"/>
      <c r="AP46" s="434" t="str">
        <f t="shared" si="1"/>
        <v xml:space="preserve">Источник тепловой энергии  </v>
      </c>
      <c r="AQ46" s="434"/>
      <c r="AR46" s="434"/>
      <c r="AS46" s="1072">
        <v>21</v>
      </c>
    </row>
    <row r="47" spans="1:45" s="2017" customFormat="1" ht="0" hidden="1" customHeight="1">
      <c r="A47" s="1260" t="s">
        <v>223</v>
      </c>
      <c r="B47" s="1260" t="s">
        <v>224</v>
      </c>
      <c r="C47" s="1260" t="s">
        <v>225</v>
      </c>
      <c r="D47" s="1260" t="s">
        <v>226</v>
      </c>
      <c r="E47" s="3200"/>
      <c r="F47" s="3200"/>
      <c r="G47" s="3200"/>
      <c r="H47" s="3200"/>
      <c r="I47" s="3197" t="str">
        <f>S46&amp;".1"</f>
        <v>....1</v>
      </c>
      <c r="J47" s="1260"/>
      <c r="K47" s="1260"/>
      <c r="L47" s="1263" t="s">
        <v>438</v>
      </c>
      <c r="M47" s="444"/>
      <c r="N47" s="444"/>
      <c r="O47" s="444"/>
      <c r="P47" s="3198">
        <v>1</v>
      </c>
      <c r="Q47" s="1248"/>
      <c r="R47" s="290"/>
      <c r="S47" s="963"/>
      <c r="T47" s="1300"/>
      <c r="U47" s="1301"/>
      <c r="V47" s="3228"/>
      <c r="W47" s="3229"/>
      <c r="X47" s="3229"/>
      <c r="Y47" s="3229"/>
      <c r="Z47" s="3229"/>
      <c r="AA47" s="3229"/>
      <c r="AB47" s="3229"/>
      <c r="AC47" s="3230"/>
      <c r="AD47" s="3228"/>
      <c r="AE47" s="3229"/>
      <c r="AF47" s="3229"/>
      <c r="AG47" s="3229"/>
      <c r="AH47" s="3229"/>
      <c r="AI47" s="3229"/>
      <c r="AJ47" s="3229"/>
      <c r="AK47" s="3229"/>
      <c r="AL47" s="3230"/>
      <c r="AM47" s="1302"/>
      <c r="AO47" s="434"/>
      <c r="AP47" s="434" t="str">
        <f t="shared" si="1"/>
        <v/>
      </c>
      <c r="AQ47" s="434"/>
      <c r="AR47" s="434"/>
      <c r="AS47" s="445">
        <v>0</v>
      </c>
    </row>
    <row r="48" spans="1:45" ht="22" customHeight="1">
      <c r="A48" s="1280" t="s">
        <v>223</v>
      </c>
      <c r="B48" s="1280" t="s">
        <v>224</v>
      </c>
      <c r="C48" s="1280" t="s">
        <v>225</v>
      </c>
      <c r="D48" s="1280" t="s">
        <v>226</v>
      </c>
      <c r="E48" s="3200"/>
      <c r="F48" s="3200"/>
      <c r="G48" s="3200"/>
      <c r="H48" s="3200"/>
      <c r="I48" s="3220"/>
      <c r="J48" s="3197" t="str">
        <f>S46&amp;".1"</f>
        <v>....1</v>
      </c>
      <c r="K48" s="1280"/>
      <c r="L48" s="1281" t="s">
        <v>441</v>
      </c>
      <c r="P48" s="3198"/>
      <c r="Q48" s="3198">
        <v>1</v>
      </c>
      <c r="R48" s="291"/>
      <c r="S48" s="1253" t="str">
        <f>$J48</f>
        <v>....1</v>
      </c>
      <c r="T48" s="221" t="s">
        <v>442</v>
      </c>
      <c r="U48" s="235"/>
      <c r="V48" s="3188"/>
      <c r="W48" s="3189"/>
      <c r="X48" s="3189"/>
      <c r="Y48" s="3189"/>
      <c r="Z48" s="3189"/>
      <c r="AA48" s="3189"/>
      <c r="AB48" s="3189"/>
      <c r="AC48" s="3190"/>
      <c r="AD48" s="3188"/>
      <c r="AE48" s="3189"/>
      <c r="AF48" s="3189"/>
      <c r="AG48" s="3189"/>
      <c r="AH48" s="3189"/>
      <c r="AI48" s="3189"/>
      <c r="AJ48" s="3189"/>
      <c r="AK48" s="3189"/>
      <c r="AL48" s="3190"/>
      <c r="AM48" s="1175" t="s">
        <v>443</v>
      </c>
      <c r="AO48" s="434"/>
      <c r="AP48" s="434" t="str">
        <f t="shared" si="1"/>
        <v>Группа потребителей</v>
      </c>
      <c r="AQ48" s="434"/>
      <c r="AR48" s="434"/>
      <c r="AS48" s="1072">
        <v>21</v>
      </c>
    </row>
    <row r="49" spans="1:45" ht="22" customHeight="1">
      <c r="A49" s="1280" t="s">
        <v>223</v>
      </c>
      <c r="B49" s="1280" t="s">
        <v>224</v>
      </c>
      <c r="C49" s="1280" t="s">
        <v>225</v>
      </c>
      <c r="D49" s="1280" t="s">
        <v>226</v>
      </c>
      <c r="E49" s="3200"/>
      <c r="F49" s="3200"/>
      <c r="G49" s="3200"/>
      <c r="H49" s="3200"/>
      <c r="I49" s="3220"/>
      <c r="J49" s="3220"/>
      <c r="K49" s="3197" t="str">
        <f>J48&amp;".1"</f>
        <v>....1.1</v>
      </c>
      <c r="L49" s="1281" t="s">
        <v>444</v>
      </c>
      <c r="P49" s="3198"/>
      <c r="Q49" s="3198"/>
      <c r="R49" s="291">
        <v>1</v>
      </c>
      <c r="S49" s="1253" t="str">
        <f>$K49</f>
        <v>....1.1</v>
      </c>
      <c r="T49" s="1264"/>
      <c r="U49" s="235"/>
      <c r="V49" s="685"/>
      <c r="W49" s="260"/>
      <c r="X49" s="685"/>
      <c r="Y49" s="1174"/>
      <c r="Z49" s="3202"/>
      <c r="AA49" s="3048" t="s">
        <v>67</v>
      </c>
      <c r="AB49" s="3202"/>
      <c r="AC49" s="3048" t="s">
        <v>67</v>
      </c>
      <c r="AD49" s="685"/>
      <c r="AE49" s="260"/>
      <c r="AF49" s="685"/>
      <c r="AG49" s="1174"/>
      <c r="AH49" s="3202"/>
      <c r="AI49" s="3048" t="s">
        <v>67</v>
      </c>
      <c r="AJ49" s="3221"/>
      <c r="AK49" s="3048" t="s">
        <v>67</v>
      </c>
      <c r="AL49" s="1265"/>
      <c r="AM49" s="3194" t="s">
        <v>484</v>
      </c>
      <c r="AN49" s="445" t="e">
        <f ca="1">STRCHECKDATE(V50:AL50)</f>
        <v>#NAME?</v>
      </c>
      <c r="AO49" s="434"/>
      <c r="AP49" s="434" t="str">
        <f t="shared" si="1"/>
        <v/>
      </c>
      <c r="AQ49" s="434"/>
      <c r="AR49" s="434"/>
      <c r="AS49" s="1072">
        <v>21</v>
      </c>
    </row>
    <row r="50" spans="1:45" ht="0" hidden="1" customHeight="1">
      <c r="A50" s="1280" t="s">
        <v>223</v>
      </c>
      <c r="B50" s="1280" t="s">
        <v>224</v>
      </c>
      <c r="C50" s="1280" t="s">
        <v>225</v>
      </c>
      <c r="D50" s="1280" t="s">
        <v>226</v>
      </c>
      <c r="E50" s="3200"/>
      <c r="F50" s="3200"/>
      <c r="G50" s="3200"/>
      <c r="H50" s="3200"/>
      <c r="I50" s="3220"/>
      <c r="J50" s="3220"/>
      <c r="K50" s="3197"/>
      <c r="L50" s="1281"/>
      <c r="P50" s="3198"/>
      <c r="Q50" s="3198"/>
      <c r="R50" s="291"/>
      <c r="S50" s="1259"/>
      <c r="T50" s="235"/>
      <c r="U50" s="235"/>
      <c r="V50" s="260"/>
      <c r="W50" s="260"/>
      <c r="X50" s="260"/>
      <c r="Y50" s="263" t="str">
        <f>Z49&amp;"-"&amp;AB49</f>
        <v>-</v>
      </c>
      <c r="Z50" s="3203"/>
      <c r="AA50" s="3048"/>
      <c r="AB50" s="3203"/>
      <c r="AC50" s="3048"/>
      <c r="AD50" s="260"/>
      <c r="AE50" s="260"/>
      <c r="AF50" s="260"/>
      <c r="AG50" s="263" t="str">
        <f>AH49&amp;"-"&amp;AJ49</f>
        <v>-</v>
      </c>
      <c r="AH50" s="3203"/>
      <c r="AI50" s="3048"/>
      <c r="AJ50" s="3222"/>
      <c r="AK50" s="3048"/>
      <c r="AL50" s="1266"/>
      <c r="AM50" s="3195"/>
      <c r="AO50" s="434"/>
      <c r="AP50" s="434" t="str">
        <f t="shared" si="1"/>
        <v/>
      </c>
      <c r="AQ50" s="434"/>
      <c r="AR50" s="434"/>
      <c r="AS50" s="1072">
        <v>0</v>
      </c>
    </row>
    <row r="51" spans="1:45" ht="11.5" customHeight="1">
      <c r="A51" s="1280" t="s">
        <v>223</v>
      </c>
      <c r="B51" s="1280" t="s">
        <v>224</v>
      </c>
      <c r="C51" s="1280" t="s">
        <v>225</v>
      </c>
      <c r="D51" s="1280" t="s">
        <v>226</v>
      </c>
      <c r="E51" s="3200"/>
      <c r="F51" s="3200"/>
      <c r="G51" s="3200"/>
      <c r="H51" s="3200"/>
      <c r="I51" s="3220"/>
      <c r="J51" s="3197"/>
      <c r="K51" s="1280"/>
      <c r="L51" s="1281"/>
      <c r="P51" s="3198"/>
      <c r="Q51" s="3198"/>
      <c r="R51" s="290"/>
      <c r="S51" s="1195"/>
      <c r="T51" s="222" t="s">
        <v>446</v>
      </c>
      <c r="U51" s="301"/>
      <c r="V51" s="301"/>
      <c r="W51" s="301"/>
      <c r="X51" s="301"/>
      <c r="Y51" s="301"/>
      <c r="Z51" s="301"/>
      <c r="AA51" s="301"/>
      <c r="AB51" s="301"/>
      <c r="AC51" s="301"/>
      <c r="AD51" s="301"/>
      <c r="AE51" s="301"/>
      <c r="AF51" s="301"/>
      <c r="AG51" s="301"/>
      <c r="AH51" s="301"/>
      <c r="AI51" s="301"/>
      <c r="AJ51" s="301"/>
      <c r="AK51" s="301"/>
      <c r="AL51" s="259"/>
      <c r="AM51" s="3196"/>
      <c r="AO51" s="434"/>
      <c r="AP51" s="434" t="str">
        <f t="shared" si="1"/>
        <v>Добавить вид теплоносителя (параметры теплоносителя)</v>
      </c>
      <c r="AQ51" s="434"/>
      <c r="AR51" s="434"/>
      <c r="AS51" s="1072">
        <v>11</v>
      </c>
    </row>
    <row r="52" spans="1:45" ht="11.5" customHeight="1">
      <c r="A52" s="1280" t="s">
        <v>223</v>
      </c>
      <c r="B52" s="1280" t="s">
        <v>224</v>
      </c>
      <c r="C52" s="1280" t="s">
        <v>225</v>
      </c>
      <c r="D52" s="1280" t="s">
        <v>226</v>
      </c>
      <c r="E52" s="3200"/>
      <c r="F52" s="3200"/>
      <c r="G52" s="3200"/>
      <c r="H52" s="3200"/>
      <c r="I52" s="3197"/>
      <c r="J52" s="1280"/>
      <c r="K52" s="1280"/>
      <c r="L52" s="1281"/>
      <c r="P52" s="3198"/>
      <c r="Q52" s="1248"/>
      <c r="R52" s="290"/>
      <c r="S52" s="1195"/>
      <c r="T52" s="299" t="s">
        <v>447</v>
      </c>
      <c r="U52" s="301"/>
      <c r="V52" s="301"/>
      <c r="W52" s="301"/>
      <c r="X52" s="301"/>
      <c r="Y52" s="301"/>
      <c r="Z52" s="301"/>
      <c r="AA52" s="301"/>
      <c r="AB52" s="301"/>
      <c r="AC52" s="300"/>
      <c r="AD52" s="301"/>
      <c r="AE52" s="301"/>
      <c r="AF52" s="301"/>
      <c r="AG52" s="301"/>
      <c r="AH52" s="301"/>
      <c r="AI52" s="301"/>
      <c r="AJ52" s="301"/>
      <c r="AK52" s="300"/>
      <c r="AL52" s="301"/>
      <c r="AM52" s="238"/>
      <c r="AO52" s="434"/>
      <c r="AP52" s="434" t="str">
        <f t="shared" si="1"/>
        <v>Добавить группу потребителей</v>
      </c>
      <c r="AQ52" s="434"/>
      <c r="AR52" s="434"/>
      <c r="AS52" s="1072">
        <v>11</v>
      </c>
    </row>
    <row r="53" spans="1:45" ht="0" hidden="1" customHeight="1">
      <c r="A53" s="1280" t="s">
        <v>223</v>
      </c>
      <c r="B53" s="1280" t="s">
        <v>224</v>
      </c>
      <c r="C53" s="1280" t="s">
        <v>225</v>
      </c>
      <c r="D53" s="1280" t="s">
        <v>226</v>
      </c>
      <c r="E53" s="3200"/>
      <c r="F53" s="3200"/>
      <c r="G53" s="3200"/>
      <c r="H53" s="3199"/>
      <c r="I53" s="1280"/>
      <c r="J53" s="1280"/>
      <c r="K53" s="1280"/>
      <c r="L53" s="1281"/>
      <c r="M53" s="1282"/>
      <c r="N53" s="1282"/>
      <c r="O53" s="471"/>
      <c r="P53" s="294"/>
      <c r="Q53" s="309"/>
      <c r="R53" s="289"/>
      <c r="S53" s="1303"/>
      <c r="T53" s="1304"/>
      <c r="U53" s="1305"/>
      <c r="V53" s="1305"/>
      <c r="W53" s="1305"/>
      <c r="X53" s="1305"/>
      <c r="Y53" s="1305"/>
      <c r="Z53" s="1305"/>
      <c r="AA53" s="1305"/>
      <c r="AB53" s="1305"/>
      <c r="AC53" s="1305"/>
      <c r="AD53" s="1305"/>
      <c r="AE53" s="1305"/>
      <c r="AF53" s="1305"/>
      <c r="AG53" s="1305"/>
      <c r="AH53" s="1305"/>
      <c r="AI53" s="1305"/>
      <c r="AJ53" s="1305"/>
      <c r="AK53" s="1305"/>
      <c r="AL53" s="1305"/>
      <c r="AM53" s="1306"/>
      <c r="AO53" s="434"/>
      <c r="AP53" s="434" t="str">
        <f t="shared" si="1"/>
        <v/>
      </c>
      <c r="AQ53" s="434"/>
      <c r="AR53" s="434"/>
      <c r="AS53" s="1072">
        <v>0</v>
      </c>
    </row>
    <row r="54" spans="1:45" s="2017" customFormat="1" ht="0" hidden="1" customHeight="1">
      <c r="A54" s="1260" t="s">
        <v>223</v>
      </c>
      <c r="B54" s="1260" t="s">
        <v>224</v>
      </c>
      <c r="C54" s="1260" t="s">
        <v>225</v>
      </c>
      <c r="D54" s="1231"/>
      <c r="E54" s="3200"/>
      <c r="F54" s="3200"/>
      <c r="G54" s="3199"/>
      <c r="H54" s="1231"/>
      <c r="I54" s="1231"/>
      <c r="J54" s="1231"/>
      <c r="K54" s="1231"/>
      <c r="L54" s="1256"/>
      <c r="M54" s="1232"/>
      <c r="N54" s="1232"/>
      <c r="P54" s="1233"/>
      <c r="Q54" s="1234"/>
      <c r="R54" s="1233"/>
      <c r="S54" s="1239"/>
      <c r="T54" s="1242" t="s">
        <v>180</v>
      </c>
      <c r="U54" s="1241"/>
      <c r="V54" s="1241"/>
      <c r="W54" s="1241"/>
      <c r="X54" s="1241"/>
      <c r="Y54" s="1241"/>
      <c r="Z54" s="1241"/>
      <c r="AA54" s="1241"/>
      <c r="AB54" s="1241"/>
      <c r="AC54" s="1241"/>
      <c r="AD54" s="1241"/>
      <c r="AE54" s="1241"/>
      <c r="AF54" s="1241"/>
      <c r="AG54" s="1241"/>
      <c r="AH54" s="1241"/>
      <c r="AI54" s="1241"/>
      <c r="AJ54" s="1241"/>
      <c r="AK54" s="1241"/>
      <c r="AL54" s="1241"/>
      <c r="AM54" s="1241"/>
      <c r="AO54" s="717"/>
      <c r="AP54" s="717" t="str">
        <f t="shared" si="1"/>
        <v>Добавить источник для дифференциации</v>
      </c>
      <c r="AQ54" s="717"/>
      <c r="AR54" s="717"/>
      <c r="AS54" s="452">
        <v>0</v>
      </c>
    </row>
    <row r="55" spans="1:45" s="2017" customFormat="1" ht="0" hidden="1" customHeight="1">
      <c r="A55" s="1260" t="s">
        <v>223</v>
      </c>
      <c r="B55" s="1260" t="s">
        <v>224</v>
      </c>
      <c r="C55" s="1231"/>
      <c r="D55" s="1231"/>
      <c r="E55" s="3200"/>
      <c r="F55" s="3199"/>
      <c r="G55" s="1231"/>
      <c r="H55" s="1231"/>
      <c r="I55" s="1231"/>
      <c r="J55" s="1231"/>
      <c r="K55" s="1231"/>
      <c r="L55" s="1256"/>
      <c r="M55" s="1238"/>
      <c r="N55" s="1238"/>
      <c r="P55" s="1233"/>
      <c r="Q55" s="1234"/>
      <c r="R55" s="1233"/>
      <c r="S55" s="1239"/>
      <c r="T55" s="1242" t="s">
        <v>181</v>
      </c>
      <c r="U55" s="1241"/>
      <c r="V55" s="1241"/>
      <c r="W55" s="1241"/>
      <c r="X55" s="1241"/>
      <c r="Y55" s="1241"/>
      <c r="Z55" s="1241"/>
      <c r="AA55" s="1241"/>
      <c r="AB55" s="1241"/>
      <c r="AC55" s="1241"/>
      <c r="AD55" s="1241"/>
      <c r="AE55" s="1241"/>
      <c r="AF55" s="1241"/>
      <c r="AG55" s="1241"/>
      <c r="AH55" s="1241"/>
      <c r="AI55" s="1241"/>
      <c r="AJ55" s="1241"/>
      <c r="AK55" s="1241"/>
      <c r="AL55" s="1241"/>
      <c r="AM55" s="1241"/>
      <c r="AO55" s="717"/>
      <c r="AP55" s="717" t="str">
        <f t="shared" si="1"/>
        <v>Добавить централизованную систему для дифференциации</v>
      </c>
      <c r="AQ55" s="717"/>
      <c r="AR55" s="717"/>
      <c r="AS55" s="452">
        <v>0</v>
      </c>
    </row>
    <row r="56" spans="1:45" s="2017" customFormat="1" ht="0" hidden="1" customHeight="1">
      <c r="A56" s="1260" t="s">
        <v>223</v>
      </c>
      <c r="B56" s="1260"/>
      <c r="C56" s="1260"/>
      <c r="D56" s="1260"/>
      <c r="E56" s="3199"/>
      <c r="F56" s="1260"/>
      <c r="G56" s="1260"/>
      <c r="H56" s="1260"/>
      <c r="I56" s="1260"/>
      <c r="J56" s="1260"/>
      <c r="K56" s="1260"/>
      <c r="L56" s="1263"/>
      <c r="M56" s="1238"/>
      <c r="N56" s="1238"/>
      <c r="O56" s="452"/>
      <c r="P56" s="314"/>
      <c r="Q56" s="1261"/>
      <c r="R56" s="314"/>
      <c r="S56" s="1239"/>
      <c r="T56" s="1242" t="s">
        <v>188</v>
      </c>
      <c r="U56" s="1241"/>
      <c r="V56" s="1241"/>
      <c r="W56" s="1241"/>
      <c r="X56" s="1241"/>
      <c r="Y56" s="1241"/>
      <c r="Z56" s="1241"/>
      <c r="AA56" s="1241"/>
      <c r="AB56" s="1241"/>
      <c r="AC56" s="1241"/>
      <c r="AD56" s="1241"/>
      <c r="AE56" s="1241"/>
      <c r="AF56" s="1241"/>
      <c r="AG56" s="1241"/>
      <c r="AH56" s="1241"/>
      <c r="AI56" s="1241"/>
      <c r="AJ56" s="1241"/>
      <c r="AK56" s="1241"/>
      <c r="AL56" s="1241"/>
      <c r="AM56" s="1241"/>
      <c r="AO56" s="434"/>
      <c r="AP56" s="434" t="str">
        <f t="shared" si="1"/>
        <v>Добавить территорию для дифференциации</v>
      </c>
      <c r="AQ56" s="434"/>
      <c r="AR56" s="434"/>
      <c r="AS56" s="445">
        <v>0</v>
      </c>
    </row>
    <row r="57" spans="1:45" s="2017" customFormat="1" ht="4.25" customHeight="1">
      <c r="A57" s="1231"/>
      <c r="B57" s="1231"/>
      <c r="C57" s="1231"/>
      <c r="D57" s="1231"/>
      <c r="E57" s="1260"/>
      <c r="F57" s="1231"/>
      <c r="G57" s="1231"/>
      <c r="H57" s="1231"/>
      <c r="I57" s="1231"/>
      <c r="J57" s="1231"/>
      <c r="K57" s="1231"/>
      <c r="L57" s="1256"/>
      <c r="M57" s="1238"/>
      <c r="N57" s="1238"/>
      <c r="P57" s="1233"/>
      <c r="Q57" s="1234"/>
      <c r="R57" s="1233"/>
      <c r="S57" s="1239"/>
      <c r="T57" s="1242" t="s">
        <v>189</v>
      </c>
      <c r="U57" s="1241"/>
      <c r="V57" s="1241"/>
      <c r="W57" s="1241"/>
      <c r="X57" s="1241"/>
      <c r="Y57" s="1241"/>
      <c r="Z57" s="1241"/>
      <c r="AA57" s="1241"/>
      <c r="AB57" s="1241"/>
      <c r="AC57" s="1241"/>
      <c r="AD57" s="1241"/>
      <c r="AE57" s="1241"/>
      <c r="AF57" s="1241"/>
      <c r="AG57" s="1241"/>
      <c r="AH57" s="1241"/>
      <c r="AI57" s="1241"/>
      <c r="AJ57" s="1241"/>
      <c r="AK57" s="1241"/>
      <c r="AL57" s="1241"/>
      <c r="AM57" s="1241"/>
      <c r="AO57" s="717"/>
      <c r="AP57" s="717" t="str">
        <f t="shared" si="1"/>
        <v>Добавить наименование тарифа</v>
      </c>
      <c r="AQ57" s="717"/>
      <c r="AR57" s="717"/>
      <c r="AS57" s="452">
        <v>4</v>
      </c>
    </row>
    <row r="58" spans="1:45" ht="11.5" customHeight="1">
      <c r="M58" s="1077"/>
      <c r="N58" s="1077"/>
      <c r="O58" s="471"/>
      <c r="P58" s="1072"/>
      <c r="Q58" s="1072"/>
      <c r="R58" s="1072"/>
      <c r="S58" s="1072"/>
      <c r="AN58" s="1072"/>
      <c r="AO58" s="1072"/>
      <c r="AP58" s="1072"/>
      <c r="AQ58" s="1072"/>
      <c r="AR58" s="1072"/>
      <c r="AS58" s="1072">
        <v>11</v>
      </c>
    </row>
    <row r="59" spans="1:45" ht="14.65" customHeight="1">
      <c r="O59" s="471"/>
      <c r="S59" s="1170"/>
      <c r="T59" s="3219"/>
      <c r="U59" s="3219"/>
      <c r="V59" s="3219"/>
      <c r="W59" s="3219"/>
      <c r="X59" s="3219"/>
      <c r="Y59" s="3219"/>
      <c r="Z59" s="3219"/>
      <c r="AA59" s="3219"/>
      <c r="AB59" s="3219"/>
      <c r="AC59" s="3219"/>
      <c r="AD59" s="3219"/>
      <c r="AE59" s="3219"/>
      <c r="AF59" s="3219"/>
      <c r="AG59" s="3219"/>
      <c r="AH59" s="3219"/>
      <c r="AI59" s="3219"/>
      <c r="AJ59" s="3219"/>
      <c r="AK59" s="3219"/>
      <c r="AL59" s="3219"/>
      <c r="AM59" s="3219"/>
      <c r="AS59" s="1072">
        <v>14</v>
      </c>
    </row>
    <row r="60" spans="1:45" ht="14.65" customHeight="1">
      <c r="O60" s="471"/>
      <c r="T60" s="3219"/>
      <c r="U60" s="3219"/>
      <c r="V60" s="3219"/>
      <c r="W60" s="3219"/>
      <c r="X60" s="3219"/>
      <c r="Y60" s="3219"/>
      <c r="Z60" s="3219"/>
      <c r="AA60" s="3219"/>
      <c r="AB60" s="3219"/>
      <c r="AC60" s="3219"/>
      <c r="AD60" s="3219"/>
      <c r="AE60" s="3219"/>
      <c r="AF60" s="3219"/>
      <c r="AG60" s="3219"/>
      <c r="AH60" s="3219"/>
      <c r="AI60" s="3219"/>
      <c r="AJ60" s="3219"/>
      <c r="AK60" s="3219"/>
      <c r="AL60" s="3219"/>
      <c r="AM60" s="3219"/>
      <c r="AS60" s="1072">
        <v>14</v>
      </c>
    </row>
    <row r="61" spans="1:45" ht="14.65" customHeight="1">
      <c r="O61" s="471"/>
      <c r="T61" s="3219"/>
      <c r="U61" s="3219"/>
      <c r="V61" s="3219"/>
      <c r="W61" s="3219"/>
      <c r="X61" s="3219"/>
      <c r="Y61" s="3219"/>
      <c r="Z61" s="3219"/>
      <c r="AA61" s="3219"/>
      <c r="AB61" s="3219"/>
      <c r="AC61" s="3219"/>
      <c r="AD61" s="3219"/>
      <c r="AE61" s="3219"/>
      <c r="AF61" s="3219"/>
      <c r="AG61" s="3219"/>
      <c r="AH61" s="3219"/>
      <c r="AI61" s="3219"/>
      <c r="AJ61" s="3219"/>
      <c r="AK61" s="3219"/>
      <c r="AL61" s="3219"/>
      <c r="AM61" s="3219"/>
      <c r="AS61" s="1072">
        <v>14</v>
      </c>
    </row>
    <row r="62" spans="1:45" ht="14.65" customHeight="1">
      <c r="O62" s="471"/>
      <c r="AS62" s="1072">
        <v>14</v>
      </c>
    </row>
    <row r="63" spans="1:45" ht="14.65" customHeight="1">
      <c r="O63" s="471"/>
      <c r="S63" s="1170"/>
      <c r="T63" s="3129"/>
      <c r="U63" s="3219"/>
      <c r="V63" s="3219"/>
      <c r="W63" s="3219"/>
      <c r="X63" s="3219"/>
      <c r="Y63" s="3219"/>
      <c r="Z63" s="3219"/>
      <c r="AA63" s="3219"/>
      <c r="AB63" s="3219"/>
      <c r="AC63" s="3219"/>
      <c r="AD63" s="3219"/>
      <c r="AE63" s="3219"/>
      <c r="AF63" s="3219"/>
      <c r="AG63" s="3219"/>
      <c r="AH63" s="3219"/>
      <c r="AI63" s="3219"/>
      <c r="AJ63" s="3219"/>
      <c r="AK63" s="3219"/>
      <c r="AL63" s="3219"/>
      <c r="AM63" s="3219"/>
      <c r="AS63" s="1072">
        <v>14</v>
      </c>
    </row>
    <row r="64" spans="1:45" ht="14.65" customHeight="1">
      <c r="O64" s="471"/>
      <c r="T64" s="3219"/>
      <c r="U64" s="3219"/>
      <c r="V64" s="3219"/>
      <c r="W64" s="3219"/>
      <c r="X64" s="3219"/>
      <c r="Y64" s="3219"/>
      <c r="Z64" s="3219"/>
      <c r="AA64" s="3219"/>
      <c r="AB64" s="3219"/>
      <c r="AC64" s="3219"/>
      <c r="AD64" s="3219"/>
      <c r="AE64" s="3219"/>
      <c r="AF64" s="3219"/>
      <c r="AG64" s="3219"/>
      <c r="AH64" s="3219"/>
      <c r="AI64" s="3219"/>
      <c r="AJ64" s="3219"/>
      <c r="AK64" s="3219"/>
      <c r="AL64" s="3219"/>
      <c r="AM64" s="3219"/>
      <c r="AS64" s="1072">
        <v>14</v>
      </c>
    </row>
    <row r="65" spans="1:45" ht="14.65" customHeight="1">
      <c r="T65" s="3219"/>
      <c r="U65" s="3219"/>
      <c r="V65" s="3219"/>
      <c r="W65" s="3219"/>
      <c r="X65" s="3219"/>
      <c r="Y65" s="3219"/>
      <c r="Z65" s="3219"/>
      <c r="AA65" s="3219"/>
      <c r="AB65" s="3219"/>
      <c r="AC65" s="3219"/>
      <c r="AD65" s="3219"/>
      <c r="AE65" s="3219"/>
      <c r="AF65" s="3219"/>
      <c r="AG65" s="3219"/>
      <c r="AH65" s="3219"/>
      <c r="AI65" s="3219"/>
      <c r="AJ65" s="3219"/>
      <c r="AK65" s="3219"/>
      <c r="AL65" s="3219"/>
      <c r="AM65" s="3219"/>
      <c r="AS65" s="1072">
        <v>14</v>
      </c>
    </row>
    <row r="66" spans="1:45" ht="22.5" hidden="1" customHeight="1">
      <c r="A66" s="1077" t="s">
        <v>83</v>
      </c>
      <c r="B66" s="1077">
        <v>0</v>
      </c>
      <c r="C66" s="1077">
        <v>0</v>
      </c>
      <c r="D66" s="1077">
        <v>0</v>
      </c>
      <c r="E66" s="1077">
        <v>0</v>
      </c>
      <c r="F66" s="1077">
        <v>0</v>
      </c>
      <c r="G66" s="1077">
        <v>0</v>
      </c>
      <c r="H66" s="1077">
        <v>0</v>
      </c>
      <c r="I66" s="1077">
        <v>0</v>
      </c>
      <c r="J66" s="1077">
        <v>0</v>
      </c>
      <c r="K66" s="1077">
        <v>0</v>
      </c>
      <c r="L66" s="1246">
        <v>0</v>
      </c>
      <c r="M66" s="1279">
        <v>0</v>
      </c>
      <c r="N66" s="1279">
        <v>0</v>
      </c>
      <c r="O66" s="1279">
        <v>0</v>
      </c>
      <c r="P66" s="1245">
        <v>0</v>
      </c>
      <c r="Q66" s="279">
        <v>3</v>
      </c>
      <c r="R66" s="279">
        <v>3</v>
      </c>
      <c r="S66" s="515">
        <v>12</v>
      </c>
      <c r="T66" s="1072">
        <v>31</v>
      </c>
      <c r="U66" s="1072">
        <v>0</v>
      </c>
      <c r="V66" s="1072">
        <v>0</v>
      </c>
      <c r="W66" s="1072">
        <v>0</v>
      </c>
      <c r="X66" s="1072">
        <v>0</v>
      </c>
      <c r="Y66" s="1072">
        <v>0</v>
      </c>
      <c r="Z66" s="1072">
        <v>0</v>
      </c>
      <c r="AA66" s="1072">
        <v>0</v>
      </c>
      <c r="AB66" s="1072">
        <v>0</v>
      </c>
      <c r="AC66" s="1072">
        <v>0</v>
      </c>
      <c r="AD66" s="1072">
        <v>24</v>
      </c>
      <c r="AE66" s="1072">
        <v>0</v>
      </c>
      <c r="AF66" s="1072">
        <v>24</v>
      </c>
      <c r="AG66" s="1072">
        <v>24</v>
      </c>
      <c r="AH66" s="1072">
        <v>11</v>
      </c>
      <c r="AI66" s="1072">
        <v>3</v>
      </c>
      <c r="AJ66" s="1072">
        <v>11</v>
      </c>
      <c r="AK66" s="1072">
        <v>0</v>
      </c>
      <c r="AL66" s="1072">
        <v>4</v>
      </c>
      <c r="AM66" s="1072">
        <v>115</v>
      </c>
      <c r="AN66" s="445">
        <v>10</v>
      </c>
      <c r="AO66" s="445">
        <v>10</v>
      </c>
      <c r="AP66" s="445">
        <v>10</v>
      </c>
      <c r="AQ66" s="445">
        <v>10</v>
      </c>
      <c r="AR66" s="445">
        <v>10</v>
      </c>
      <c r="AS66" s="1072">
        <v>23</v>
      </c>
    </row>
  </sheetData>
  <sheetProtection formatColumns="0" formatRows="0" insertRows="0" deleteColumns="0" deleteRows="0" sort="0" autoFilter="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xr:uid="{00000000-0002-0000-1100-000000000000}"/>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11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1100-000002000000}"/>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1100-000003000000}">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1100-00000400000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1100-000005000000}">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1100-000006000000}">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11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D13C67-12FB-867D-7203-C2BDD70D1BB4}">
  <sheetPr>
    <tabColor theme="6" tint="0.39997558519241921"/>
  </sheetPr>
  <dimension ref="A1:BF100"/>
  <sheetViews>
    <sheetView showGridLines="0" topLeftCell="R29" zoomScale="90" workbookViewId="0">
      <selection activeCell="AG82" sqref="AG82:AY82"/>
    </sheetView>
  </sheetViews>
  <sheetFormatPr defaultColWidth="10.59765625" defaultRowHeight="14.25" customHeight="1"/>
  <cols>
    <col min="1" max="1" width="10.59765625" style="2004" hidden="1"/>
    <col min="2" max="2" width="11" style="2004" hidden="1" customWidth="1"/>
    <col min="3" max="3" width="10.59765625" style="2004" hidden="1"/>
    <col min="4" max="4" width="11.796875" style="2004" hidden="1" customWidth="1"/>
    <col min="5" max="5" width="10" style="2004" hidden="1" customWidth="1"/>
    <col min="6" max="6" width="8.69921875" style="2004" hidden="1" customWidth="1"/>
    <col min="7" max="7" width="7.59765625" style="2004" hidden="1" customWidth="1"/>
    <col min="8" max="8" width="11.3984375" style="2004" hidden="1" customWidth="1"/>
    <col min="9" max="9" width="12" style="2004" hidden="1" customWidth="1"/>
    <col min="10" max="10" width="9.796875" style="2004" hidden="1" customWidth="1"/>
    <col min="11" max="12" width="11.3984375" style="2004" hidden="1" customWidth="1"/>
    <col min="13" max="13" width="19.09765625" style="2015" hidden="1" customWidth="1"/>
    <col min="14" max="15" width="12.296875" style="2217" hidden="1" customWidth="1"/>
    <col min="16" max="16" width="23.3984375" style="2217" hidden="1" customWidth="1"/>
    <col min="17" max="17" width="3.69921875" style="2217" hidden="1" customWidth="1"/>
    <col min="18" max="20" width="3" style="2215" customWidth="1"/>
    <col min="21" max="21" width="12" style="2218" customWidth="1"/>
    <col min="22" max="22" width="31" style="2004" customWidth="1"/>
    <col min="23" max="23" width="9.765625E-2" style="2004" customWidth="1"/>
    <col min="24" max="28" width="21.69921875" style="2004" hidden="1" customWidth="1"/>
    <col min="29" max="29" width="11.69921875" style="2004" hidden="1" customWidth="1"/>
    <col min="30" max="30" width="3.69921875" style="2004" hidden="1" customWidth="1"/>
    <col min="31" max="31" width="11.69921875" style="2004" hidden="1" customWidth="1"/>
    <col min="32" max="32" width="8.59765625" style="2004" hidden="1" customWidth="1"/>
    <col min="33" max="33" width="21.69921875" style="2004" customWidth="1"/>
    <col min="34" max="37" width="21" style="2004" customWidth="1"/>
    <col min="38" max="38" width="11" style="2004" customWidth="1"/>
    <col min="39" max="39" width="3.69921875" style="2004" customWidth="1"/>
    <col min="40" max="40" width="11" style="2004" customWidth="1"/>
    <col min="41" max="41" width="8.59765625" style="2004" customWidth="1"/>
    <col min="50" max="50" width="10.59765625" hidden="1"/>
    <col min="51" max="51" width="4" style="2004" customWidth="1"/>
    <col min="52" max="52" width="115" style="2004" customWidth="1"/>
    <col min="53" max="57" width="10" style="2017" customWidth="1"/>
    <col min="58" max="58" width="10.59765625" style="2004" hidden="1"/>
  </cols>
  <sheetData>
    <row r="1" spans="1:58" ht="22.5" hidden="1" customHeight="1">
      <c r="AB1" s="262"/>
      <c r="AC1" s="262"/>
      <c r="AK1" s="262"/>
      <c r="AL1" s="262"/>
      <c r="AP1" s="2219"/>
      <c r="AQ1" s="2219"/>
      <c r="AR1" s="2219"/>
      <c r="AS1" s="2219"/>
      <c r="AT1" s="2219"/>
      <c r="AU1" s="2219"/>
      <c r="AV1" s="2219"/>
      <c r="AW1" s="2219"/>
      <c r="AX1" s="2219"/>
      <c r="BF1" s="1072" t="s">
        <v>14</v>
      </c>
    </row>
    <row r="2" spans="1:58" ht="21" hidden="1" customHeight="1">
      <c r="A2" s="1184"/>
      <c r="B2" s="1184"/>
      <c r="C2" s="1184"/>
      <c r="D2" s="1184"/>
      <c r="E2" s="3223">
        <v>1</v>
      </c>
      <c r="F2" s="1184"/>
      <c r="G2" s="1184"/>
      <c r="H2" s="1184"/>
      <c r="I2" s="1184"/>
      <c r="J2" s="1184"/>
      <c r="K2" s="1184"/>
      <c r="L2" s="1184"/>
      <c r="M2" s="1227"/>
      <c r="N2" s="622"/>
      <c r="O2" s="622"/>
      <c r="P2" s="622"/>
      <c r="Q2" s="295"/>
      <c r="R2" s="294"/>
      <c r="S2" s="294"/>
      <c r="T2" s="289"/>
      <c r="U2" s="1253" t="e">
        <f>INDEX(PT_DIFFERENTIATION_NUM_NTAR,MATCH(A2,PT_DIFFERENTIATION_NTAR_ID,0))</f>
        <v>#N/A</v>
      </c>
      <c r="V2" s="233" t="s">
        <v>137</v>
      </c>
      <c r="W2" s="235"/>
      <c r="X2" s="3185"/>
      <c r="Y2" s="3186"/>
      <c r="Z2" s="3186"/>
      <c r="AA2" s="3186"/>
      <c r="AB2" s="3186"/>
      <c r="AC2" s="3186"/>
      <c r="AD2" s="3186"/>
      <c r="AE2" s="3186"/>
      <c r="AF2" s="3187"/>
      <c r="AG2" s="3185" t="e">
        <f>INDEX(PT_DIFFERENTIATION_NTAR,MATCH(A2,PT_DIFFERENTIATION_NTAR_ID,0))</f>
        <v>#N/A</v>
      </c>
      <c r="AH2" s="3186"/>
      <c r="AI2" s="3186"/>
      <c r="AJ2" s="3186"/>
      <c r="AK2" s="3186"/>
      <c r="AL2" s="3186"/>
      <c r="AM2" s="3186"/>
      <c r="AN2" s="3186"/>
      <c r="AO2" s="3186"/>
      <c r="AP2" s="3185"/>
      <c r="AQ2" s="3186"/>
      <c r="AR2" s="3186"/>
      <c r="AS2" s="3186"/>
      <c r="AT2" s="3186"/>
      <c r="AU2" s="3186"/>
      <c r="AV2" s="3186"/>
      <c r="AW2" s="3186"/>
      <c r="AX2" s="3187"/>
      <c r="AY2" s="3187"/>
      <c r="AZ2" s="1175" t="s">
        <v>431</v>
      </c>
      <c r="BB2" s="434"/>
      <c r="BC2" s="434" t="str">
        <f t="shared" ref="BC2:BC8" si="0">IF(V2="","",V2)</f>
        <v>Наименование тарифа</v>
      </c>
      <c r="BD2" s="434"/>
      <c r="BE2" s="434"/>
      <c r="BF2" s="1072">
        <v>0</v>
      </c>
    </row>
    <row r="3" spans="1:58" ht="21" hidden="1" customHeight="1">
      <c r="A3" s="1184"/>
      <c r="B3" s="1184"/>
      <c r="C3" s="1184"/>
      <c r="D3" s="1184"/>
      <c r="E3" s="3224"/>
      <c r="F3" s="3223">
        <v>1</v>
      </c>
      <c r="G3" s="1184"/>
      <c r="H3" s="1184"/>
      <c r="I3" s="1184"/>
      <c r="J3" s="1184"/>
      <c r="K3" s="1184"/>
      <c r="L3" s="1184"/>
      <c r="M3" s="1227"/>
      <c r="N3" s="622"/>
      <c r="O3" s="622"/>
      <c r="P3" s="622"/>
      <c r="Q3" s="1249"/>
      <c r="R3" s="286"/>
      <c r="S3" s="443"/>
      <c r="T3" s="287"/>
      <c r="U3" s="1253" t="e">
        <f>INDEX(PT_DIFFERENTIATION_NUM_TER,MATCH(B3,PT_DIFFERENTIATION_TER_ID,0))</f>
        <v>#N/A</v>
      </c>
      <c r="V3" s="243" t="s">
        <v>432</v>
      </c>
      <c r="W3" s="235"/>
      <c r="X3" s="3185"/>
      <c r="Y3" s="3186"/>
      <c r="Z3" s="3186"/>
      <c r="AA3" s="3186"/>
      <c r="AB3" s="3186"/>
      <c r="AC3" s="3186"/>
      <c r="AD3" s="3186"/>
      <c r="AE3" s="3186"/>
      <c r="AF3" s="3187"/>
      <c r="AG3" s="3185" t="e">
        <f>INDEX(PT_DIFFERENTIATION_TER,MATCH(B3,PT_DIFFERENTIATION_TER_ID,0))</f>
        <v>#N/A</v>
      </c>
      <c r="AH3" s="3186"/>
      <c r="AI3" s="3186"/>
      <c r="AJ3" s="3186"/>
      <c r="AK3" s="3186"/>
      <c r="AL3" s="3186"/>
      <c r="AM3" s="3186"/>
      <c r="AN3" s="3186"/>
      <c r="AO3" s="3186"/>
      <c r="AP3" s="3185"/>
      <c r="AQ3" s="3186"/>
      <c r="AR3" s="3186"/>
      <c r="AS3" s="3186"/>
      <c r="AT3" s="3186"/>
      <c r="AU3" s="3186"/>
      <c r="AV3" s="3186"/>
      <c r="AW3" s="3186"/>
      <c r="AX3" s="3187"/>
      <c r="AY3" s="3187"/>
      <c r="AZ3" s="1175" t="s">
        <v>433</v>
      </c>
      <c r="BB3" s="434"/>
      <c r="BC3" s="434" t="str">
        <f t="shared" si="0"/>
        <v>Территория действия тарифа</v>
      </c>
      <c r="BD3" s="434"/>
      <c r="BE3" s="434"/>
      <c r="BF3" s="1072">
        <v>0</v>
      </c>
    </row>
    <row r="4" spans="1:58" ht="22.5" hidden="1" customHeight="1">
      <c r="A4" s="1184"/>
      <c r="B4" s="1184"/>
      <c r="C4" s="1184"/>
      <c r="D4" s="1184"/>
      <c r="E4" s="3224"/>
      <c r="F4" s="3224"/>
      <c r="G4" s="3223">
        <v>1</v>
      </c>
      <c r="H4" s="1184"/>
      <c r="I4" s="1184"/>
      <c r="J4" s="1184"/>
      <c r="K4" s="1184"/>
      <c r="L4" s="1184"/>
      <c r="M4" s="1227"/>
      <c r="N4" s="622"/>
      <c r="O4" s="622"/>
      <c r="P4" s="622"/>
      <c r="Q4" s="288"/>
      <c r="R4" s="286"/>
      <c r="S4" s="443"/>
      <c r="T4" s="287"/>
      <c r="U4" s="1253" t="e">
        <f>INDEX(PT_DIFFERENTIATION_NUM_CS,MATCH(C4,PT_DIFFERENTIATION_CS_ID,0))</f>
        <v>#N/A</v>
      </c>
      <c r="V4" s="244" t="s">
        <v>434</v>
      </c>
      <c r="W4" s="235"/>
      <c r="X4" s="3185"/>
      <c r="Y4" s="3186"/>
      <c r="Z4" s="3186"/>
      <c r="AA4" s="3186"/>
      <c r="AB4" s="3186"/>
      <c r="AC4" s="3186"/>
      <c r="AD4" s="3186"/>
      <c r="AE4" s="3186"/>
      <c r="AF4" s="3187"/>
      <c r="AG4" s="3185" t="e">
        <f>INDEX(PT_DIFFERENTIATION_CS,MATCH(C4,PT_DIFFERENTIATION_CS_ID,0))</f>
        <v>#N/A</v>
      </c>
      <c r="AH4" s="3186"/>
      <c r="AI4" s="3186"/>
      <c r="AJ4" s="3186"/>
      <c r="AK4" s="3186"/>
      <c r="AL4" s="3186"/>
      <c r="AM4" s="3186"/>
      <c r="AN4" s="3186"/>
      <c r="AO4" s="3186"/>
      <c r="AP4" s="3185"/>
      <c r="AQ4" s="3186"/>
      <c r="AR4" s="3186"/>
      <c r="AS4" s="3186"/>
      <c r="AT4" s="3186"/>
      <c r="AU4" s="3186"/>
      <c r="AV4" s="3186"/>
      <c r="AW4" s="3186"/>
      <c r="AX4" s="3187"/>
      <c r="AY4" s="3187"/>
      <c r="AZ4" s="1175" t="s">
        <v>435</v>
      </c>
      <c r="BB4" s="434"/>
      <c r="BC4" s="434" t="str">
        <f t="shared" si="0"/>
        <v xml:space="preserve">Наименование системы теплоснабжения </v>
      </c>
      <c r="BD4" s="434"/>
      <c r="BE4" s="434"/>
      <c r="BF4" s="1072">
        <v>0</v>
      </c>
    </row>
    <row r="5" spans="1:58" ht="21" hidden="1" customHeight="1">
      <c r="A5" s="1184"/>
      <c r="B5" s="1184"/>
      <c r="C5" s="1184"/>
      <c r="D5" s="1184"/>
      <c r="E5" s="3224"/>
      <c r="F5" s="3224"/>
      <c r="G5" s="3224"/>
      <c r="H5" s="3223">
        <v>1</v>
      </c>
      <c r="I5" s="1184"/>
      <c r="J5" s="1184"/>
      <c r="K5" s="1184"/>
      <c r="L5" s="1184"/>
      <c r="M5" s="1227"/>
      <c r="N5" s="622"/>
      <c r="O5" s="622"/>
      <c r="P5" s="622"/>
      <c r="Q5" s="288"/>
      <c r="R5" s="286"/>
      <c r="S5" s="443"/>
      <c r="T5" s="287"/>
      <c r="U5" s="1253" t="e">
        <f>INDEX(PT_DIFFERENTIATION_NUM_IST_TE,MATCH(D5,PT_DIFFERENTIATION_IST_TE_ID,0))</f>
        <v>#N/A</v>
      </c>
      <c r="V5" s="245" t="s">
        <v>436</v>
      </c>
      <c r="W5" s="235"/>
      <c r="X5" s="3185"/>
      <c r="Y5" s="3186"/>
      <c r="Z5" s="3186"/>
      <c r="AA5" s="3186"/>
      <c r="AB5" s="3186"/>
      <c r="AC5" s="3186"/>
      <c r="AD5" s="3186"/>
      <c r="AE5" s="3186"/>
      <c r="AF5" s="3187"/>
      <c r="AG5" s="3185" t="e">
        <f>INDEX(PT_DIFFERENTIATION_IST_TE,MATCH(D5,PT_DIFFERENTIATION_IST_TE_ID,0))</f>
        <v>#N/A</v>
      </c>
      <c r="AH5" s="3186"/>
      <c r="AI5" s="3186"/>
      <c r="AJ5" s="3186"/>
      <c r="AK5" s="3186"/>
      <c r="AL5" s="3186"/>
      <c r="AM5" s="3186"/>
      <c r="AN5" s="3186"/>
      <c r="AO5" s="3186"/>
      <c r="AP5" s="3185"/>
      <c r="AQ5" s="3186"/>
      <c r="AR5" s="3186"/>
      <c r="AS5" s="3186"/>
      <c r="AT5" s="3186"/>
      <c r="AU5" s="3186"/>
      <c r="AV5" s="3186"/>
      <c r="AW5" s="3186"/>
      <c r="AX5" s="3187"/>
      <c r="AY5" s="3187"/>
      <c r="AZ5" s="1175" t="s">
        <v>437</v>
      </c>
      <c r="BB5" s="434"/>
      <c r="BC5" s="434" t="str">
        <f t="shared" si="0"/>
        <v xml:space="preserve">Источник тепловой энергии  </v>
      </c>
      <c r="BD5" s="434"/>
      <c r="BE5" s="434"/>
      <c r="BF5" s="1072">
        <v>0</v>
      </c>
    </row>
    <row r="6" spans="1:58" ht="14.25" hidden="1" customHeight="1">
      <c r="A6" s="1184"/>
      <c r="B6" s="1184"/>
      <c r="C6" s="1184"/>
      <c r="D6" s="1184"/>
      <c r="E6" s="3224"/>
      <c r="F6" s="3224"/>
      <c r="G6" s="3224"/>
      <c r="H6" s="3224"/>
      <c r="I6" s="3067" t="e">
        <f>U5&amp;".1"</f>
        <v>#N/A</v>
      </c>
      <c r="J6" s="1184"/>
      <c r="K6" s="1184"/>
      <c r="L6" s="1184"/>
      <c r="M6" s="1227" t="s">
        <v>438</v>
      </c>
      <c r="N6" s="443"/>
      <c r="Q6" s="3198">
        <v>1</v>
      </c>
      <c r="R6" s="1248"/>
      <c r="S6" s="1248"/>
      <c r="T6" s="290"/>
      <c r="U6" s="963"/>
      <c r="V6" s="1300"/>
      <c r="W6" s="1301"/>
      <c r="X6" s="3228"/>
      <c r="Y6" s="3229"/>
      <c r="Z6" s="3229"/>
      <c r="AA6" s="3229"/>
      <c r="AB6" s="3229"/>
      <c r="AC6" s="3229"/>
      <c r="AD6" s="3229"/>
      <c r="AE6" s="3229"/>
      <c r="AF6" s="3230"/>
      <c r="AG6" s="3228"/>
      <c r="AH6" s="3229"/>
      <c r="AI6" s="3229"/>
      <c r="AJ6" s="3229"/>
      <c r="AK6" s="3229"/>
      <c r="AL6" s="3229"/>
      <c r="AM6" s="3229"/>
      <c r="AN6" s="3229"/>
      <c r="AO6" s="3229"/>
      <c r="AP6" s="3228"/>
      <c r="AQ6" s="3229"/>
      <c r="AR6" s="3229"/>
      <c r="AS6" s="3229"/>
      <c r="AT6" s="3229"/>
      <c r="AU6" s="3229"/>
      <c r="AV6" s="3229"/>
      <c r="AW6" s="3229"/>
      <c r="AX6" s="3230"/>
      <c r="AY6" s="3230"/>
      <c r="AZ6" s="1302"/>
      <c r="BB6" s="434"/>
      <c r="BC6" s="434" t="str">
        <f t="shared" si="0"/>
        <v/>
      </c>
      <c r="BD6" s="434"/>
      <c r="BE6" s="434"/>
      <c r="BF6" s="1072">
        <v>0</v>
      </c>
    </row>
    <row r="7" spans="1:58" ht="21" hidden="1" customHeight="1">
      <c r="A7" s="1184"/>
      <c r="B7" s="1184"/>
      <c r="C7" s="1184"/>
      <c r="D7" s="1184"/>
      <c r="E7" s="3224"/>
      <c r="F7" s="3224"/>
      <c r="G7" s="3224"/>
      <c r="H7" s="3224"/>
      <c r="I7" s="3038"/>
      <c r="J7" s="3067" t="e">
        <f>I6&amp;".1"</f>
        <v>#N/A</v>
      </c>
      <c r="K7" s="1184"/>
      <c r="L7" s="1184"/>
      <c r="M7" s="1227" t="s">
        <v>441</v>
      </c>
      <c r="N7" s="443"/>
      <c r="O7" s="262"/>
      <c r="Q7" s="3198"/>
      <c r="R7" s="3198">
        <v>1</v>
      </c>
      <c r="S7" s="452"/>
      <c r="T7" s="291"/>
      <c r="U7" s="1253" t="e">
        <f>$J7</f>
        <v>#N/A</v>
      </c>
      <c r="V7" s="221" t="s">
        <v>442</v>
      </c>
      <c r="W7" s="235"/>
      <c r="X7" s="3188"/>
      <c r="Y7" s="3189"/>
      <c r="Z7" s="3189"/>
      <c r="AA7" s="3189"/>
      <c r="AB7" s="3189"/>
      <c r="AC7" s="3181"/>
      <c r="AD7" s="3181"/>
      <c r="AE7" s="3181"/>
      <c r="AF7" s="3241"/>
      <c r="AG7" s="3188"/>
      <c r="AH7" s="3189"/>
      <c r="AI7" s="3189"/>
      <c r="AJ7" s="3189"/>
      <c r="AK7" s="3189"/>
      <c r="AL7" s="3189"/>
      <c r="AM7" s="3189"/>
      <c r="AN7" s="3189"/>
      <c r="AO7" s="3189"/>
      <c r="AP7" s="3188"/>
      <c r="AQ7" s="3189"/>
      <c r="AR7" s="3189"/>
      <c r="AS7" s="3189"/>
      <c r="AT7" s="3189"/>
      <c r="AU7" s="3181"/>
      <c r="AV7" s="3181"/>
      <c r="AW7" s="3181"/>
      <c r="AX7" s="3241"/>
      <c r="AY7" s="3190"/>
      <c r="AZ7" s="1175" t="s">
        <v>443</v>
      </c>
      <c r="BB7" s="434"/>
      <c r="BC7" s="434" t="str">
        <f t="shared" si="0"/>
        <v>Группа потребителей</v>
      </c>
      <c r="BD7" s="434"/>
      <c r="BE7" s="434"/>
      <c r="BF7" s="1072">
        <v>0</v>
      </c>
    </row>
    <row r="8" spans="1:58" ht="21" hidden="1" customHeight="1">
      <c r="A8" s="1184"/>
      <c r="B8" s="1184"/>
      <c r="C8" s="1184"/>
      <c r="D8" s="1184"/>
      <c r="E8" s="3224"/>
      <c r="F8" s="3224"/>
      <c r="G8" s="3224"/>
      <c r="H8" s="3224"/>
      <c r="I8" s="3038"/>
      <c r="J8" s="3038"/>
      <c r="K8" s="3067" t="e">
        <f>J7&amp;".1"</f>
        <v>#N/A</v>
      </c>
      <c r="L8" s="76"/>
      <c r="M8" s="1227" t="s">
        <v>444</v>
      </c>
      <c r="N8" s="443"/>
      <c r="O8" s="262"/>
      <c r="P8" s="262"/>
      <c r="Q8" s="3198"/>
      <c r="R8" s="3198"/>
      <c r="S8" s="3198">
        <v>1</v>
      </c>
      <c r="T8" s="291"/>
      <c r="U8" s="1253" t="e">
        <f>$K8</f>
        <v>#N/A</v>
      </c>
      <c r="V8" s="1264"/>
      <c r="W8" s="235"/>
      <c r="X8" s="685"/>
      <c r="Y8" s="685"/>
      <c r="Z8" s="685"/>
      <c r="AA8" s="685"/>
      <c r="AB8" s="1322"/>
      <c r="AC8" s="3202"/>
      <c r="AD8" s="3048" t="s">
        <v>67</v>
      </c>
      <c r="AE8" s="3202"/>
      <c r="AF8" s="3048" t="s">
        <v>67</v>
      </c>
      <c r="AG8" s="1324"/>
      <c r="AH8" s="685"/>
      <c r="AI8" s="685"/>
      <c r="AJ8" s="685"/>
      <c r="AK8" s="1174"/>
      <c r="AL8" s="3202"/>
      <c r="AM8" s="3048" t="s">
        <v>67</v>
      </c>
      <c r="AN8" s="3202"/>
      <c r="AO8" s="3048" t="s">
        <v>67</v>
      </c>
      <c r="AP8" s="2220"/>
      <c r="AQ8" s="2220"/>
      <c r="AR8" s="2220"/>
      <c r="AS8" s="2220"/>
      <c r="AT8" s="2728"/>
      <c r="AU8" s="3202"/>
      <c r="AV8" s="3048" t="s">
        <v>67</v>
      </c>
      <c r="AW8" s="3202"/>
      <c r="AX8" s="3048" t="s">
        <v>67</v>
      </c>
      <c r="AY8" s="260"/>
      <c r="AZ8" s="1224" t="s">
        <v>485</v>
      </c>
      <c r="BA8" s="445" t="e">
        <f ca="1">STRCHECKDATE(X10:AY10)</f>
        <v>#NAME?</v>
      </c>
      <c r="BB8" s="434"/>
      <c r="BC8" s="434" t="str">
        <f t="shared" si="0"/>
        <v/>
      </c>
      <c r="BD8" s="434"/>
      <c r="BE8" s="434"/>
      <c r="BF8" s="1072">
        <v>0</v>
      </c>
    </row>
    <row r="9" spans="1:58" ht="21" hidden="1" customHeight="1">
      <c r="A9" s="1184"/>
      <c r="B9" s="1184"/>
      <c r="C9" s="1184"/>
      <c r="D9" s="1184"/>
      <c r="E9" s="3224"/>
      <c r="F9" s="3224"/>
      <c r="G9" s="3224"/>
      <c r="H9" s="3224"/>
      <c r="I9" s="3038"/>
      <c r="J9" s="3038"/>
      <c r="K9" s="3038"/>
      <c r="L9" s="3067" t="e">
        <f>K8&amp;".1"</f>
        <v>#N/A</v>
      </c>
      <c r="M9" s="1227"/>
      <c r="N9" s="443"/>
      <c r="O9" s="262"/>
      <c r="P9" s="262"/>
      <c r="Q9" s="3198"/>
      <c r="R9" s="3198"/>
      <c r="S9" s="3198"/>
      <c r="T9" s="291"/>
      <c r="U9" s="1253" t="e">
        <f>$L9</f>
        <v>#N/A</v>
      </c>
      <c r="V9" s="1308"/>
      <c r="W9" s="235"/>
      <c r="X9" s="260"/>
      <c r="Y9" s="685"/>
      <c r="Z9" s="685"/>
      <c r="AA9" s="685"/>
      <c r="AB9" s="1322"/>
      <c r="AC9" s="3203"/>
      <c r="AD9" s="3048"/>
      <c r="AE9" s="3203"/>
      <c r="AF9" s="3048"/>
      <c r="AG9" s="1324"/>
      <c r="AH9" s="685"/>
      <c r="AI9" s="685"/>
      <c r="AJ9" s="685"/>
      <c r="AK9" s="1174"/>
      <c r="AL9" s="3203"/>
      <c r="AM9" s="3048"/>
      <c r="AN9" s="3203"/>
      <c r="AO9" s="3048"/>
      <c r="AP9" s="2221"/>
      <c r="AQ9" s="2220"/>
      <c r="AR9" s="2220"/>
      <c r="AS9" s="2220"/>
      <c r="AT9" s="2728"/>
      <c r="AU9" s="3203"/>
      <c r="AV9" s="3048"/>
      <c r="AW9" s="3203"/>
      <c r="AX9" s="3048"/>
      <c r="AY9" s="260"/>
      <c r="AZ9" s="3194" t="s">
        <v>486</v>
      </c>
      <c r="BB9" s="434"/>
      <c r="BC9" s="434"/>
      <c r="BD9" s="434"/>
      <c r="BE9" s="434"/>
      <c r="BF9" s="1072">
        <v>0</v>
      </c>
    </row>
    <row r="10" spans="1:58" ht="14.25" hidden="1" customHeight="1">
      <c r="A10" s="1184"/>
      <c r="B10" s="1184"/>
      <c r="C10" s="1184"/>
      <c r="D10" s="1184"/>
      <c r="E10" s="3224"/>
      <c r="F10" s="3224"/>
      <c r="G10" s="3224"/>
      <c r="H10" s="3224"/>
      <c r="I10" s="3038"/>
      <c r="J10" s="3038"/>
      <c r="K10" s="3038"/>
      <c r="L10" s="3067"/>
      <c r="M10" s="1227"/>
      <c r="N10" s="443"/>
      <c r="O10" s="262"/>
      <c r="P10" s="262"/>
      <c r="Q10" s="3198"/>
      <c r="R10" s="3198"/>
      <c r="S10" s="3198"/>
      <c r="T10" s="291"/>
      <c r="U10" s="1259"/>
      <c r="V10" s="235"/>
      <c r="W10" s="235"/>
      <c r="X10" s="260"/>
      <c r="Y10" s="260"/>
      <c r="Z10" s="260"/>
      <c r="AA10" s="260"/>
      <c r="AB10" s="1323" t="str">
        <f>AC8&amp;"-"&amp;AE8</f>
        <v>-</v>
      </c>
      <c r="AC10" s="3203"/>
      <c r="AD10" s="3048"/>
      <c r="AE10" s="3203"/>
      <c r="AF10" s="3048"/>
      <c r="AG10" s="1299"/>
      <c r="AH10" s="260"/>
      <c r="AI10" s="260"/>
      <c r="AJ10" s="260"/>
      <c r="AK10" s="263" t="str">
        <f>AL8&amp;"-"&amp;AN8</f>
        <v>-</v>
      </c>
      <c r="AL10" s="3203"/>
      <c r="AM10" s="3048"/>
      <c r="AN10" s="3203"/>
      <c r="AO10" s="3048"/>
      <c r="AP10" s="2221"/>
      <c r="AQ10" s="2221"/>
      <c r="AR10" s="2221"/>
      <c r="AS10" s="2221"/>
      <c r="AT10" s="2729" t="str">
        <f>AU8&amp;"-"&amp;AW8</f>
        <v>-</v>
      </c>
      <c r="AU10" s="3203"/>
      <c r="AV10" s="3048"/>
      <c r="AW10" s="3203"/>
      <c r="AX10" s="3048"/>
      <c r="AY10" s="260"/>
      <c r="AZ10" s="3195"/>
      <c r="BB10" s="434"/>
      <c r="BC10" s="434" t="str">
        <f>IF(V10="","",V10)</f>
        <v/>
      </c>
      <c r="BD10" s="434"/>
      <c r="BE10" s="434"/>
      <c r="BF10" s="1072">
        <v>0</v>
      </c>
    </row>
    <row r="11" spans="1:58" ht="11.25" hidden="1" customHeight="1">
      <c r="A11" s="1184"/>
      <c r="B11" s="1184"/>
      <c r="C11" s="1184"/>
      <c r="D11" s="1184"/>
      <c r="E11" s="3224"/>
      <c r="F11" s="3224"/>
      <c r="G11" s="3224"/>
      <c r="H11" s="3224"/>
      <c r="I11" s="3038"/>
      <c r="J11" s="3038"/>
      <c r="K11" s="3067"/>
      <c r="L11" s="1184"/>
      <c r="M11" s="1227"/>
      <c r="N11" s="443"/>
      <c r="O11" s="262"/>
      <c r="P11" s="262"/>
      <c r="Q11" s="3198"/>
      <c r="R11" s="3198"/>
      <c r="S11" s="3198"/>
      <c r="T11" s="291"/>
      <c r="U11" s="1195"/>
      <c r="V11" s="223" t="s">
        <v>487</v>
      </c>
      <c r="W11" s="1309"/>
      <c r="X11" s="1310"/>
      <c r="Y11" s="1310"/>
      <c r="Z11" s="1310"/>
      <c r="AA11" s="1310"/>
      <c r="AB11" s="1311"/>
      <c r="AC11" s="3203"/>
      <c r="AD11" s="3048"/>
      <c r="AE11" s="3203"/>
      <c r="AF11" s="3048"/>
      <c r="AG11" s="1310"/>
      <c r="AH11" s="1310"/>
      <c r="AI11" s="1310"/>
      <c r="AJ11" s="1310"/>
      <c r="AK11" s="1311"/>
      <c r="AL11" s="3203"/>
      <c r="AM11" s="3048"/>
      <c r="AN11" s="3203"/>
      <c r="AO11" s="3048"/>
      <c r="AP11" s="2730"/>
      <c r="AQ11" s="2731"/>
      <c r="AR11" s="2732"/>
      <c r="AS11" s="2733"/>
      <c r="AT11" s="2734"/>
      <c r="AU11" s="3203"/>
      <c r="AV11" s="3048"/>
      <c r="AW11" s="3203"/>
      <c r="AX11" s="3048"/>
      <c r="AY11" s="1312"/>
      <c r="AZ11" s="3195"/>
      <c r="BB11" s="434"/>
      <c r="BC11" s="434"/>
      <c r="BD11" s="434"/>
      <c r="BE11" s="434"/>
      <c r="BF11" s="1072">
        <v>0</v>
      </c>
    </row>
    <row r="12" spans="1:58" ht="15" hidden="1" customHeight="1">
      <c r="A12" s="1184"/>
      <c r="B12" s="1184"/>
      <c r="C12" s="1184"/>
      <c r="D12" s="1184"/>
      <c r="E12" s="3224"/>
      <c r="F12" s="3224"/>
      <c r="G12" s="3224"/>
      <c r="H12" s="3224"/>
      <c r="I12" s="3038"/>
      <c r="J12" s="3067"/>
      <c r="K12" s="1184"/>
      <c r="L12" s="1184"/>
      <c r="M12" s="1227"/>
      <c r="N12" s="443"/>
      <c r="O12" s="262"/>
      <c r="Q12" s="3198"/>
      <c r="R12" s="3198"/>
      <c r="S12" s="1248"/>
      <c r="T12" s="290"/>
      <c r="U12" s="1195"/>
      <c r="V12" s="222" t="s">
        <v>446</v>
      </c>
      <c r="W12" s="301"/>
      <c r="X12" s="301"/>
      <c r="Y12" s="301"/>
      <c r="Z12" s="301"/>
      <c r="AA12" s="301"/>
      <c r="AB12" s="301"/>
      <c r="AC12" s="1325"/>
      <c r="AD12" s="1325"/>
      <c r="AE12" s="1325"/>
      <c r="AF12" s="1325"/>
      <c r="AG12" s="301"/>
      <c r="AH12" s="301"/>
      <c r="AI12" s="301"/>
      <c r="AJ12" s="301"/>
      <c r="AK12" s="301"/>
      <c r="AL12" s="301"/>
      <c r="AM12" s="301"/>
      <c r="AN12" s="301"/>
      <c r="AO12" s="301"/>
      <c r="AP12" s="2735"/>
      <c r="AQ12" s="2736"/>
      <c r="AR12" s="2737"/>
      <c r="AS12" s="2738"/>
      <c r="AT12" s="2739"/>
      <c r="AU12" s="2740"/>
      <c r="AV12" s="2741"/>
      <c r="AW12" s="2742"/>
      <c r="AX12" s="2743"/>
      <c r="AY12" s="259"/>
      <c r="AZ12" s="3196"/>
      <c r="BB12" s="434"/>
      <c r="BC12" s="434" t="str">
        <f t="shared" ref="BC12:BC17" si="1">IF(V12="","",V12)</f>
        <v>Добавить вид теплоносителя (параметры теплоносителя)</v>
      </c>
      <c r="BD12" s="434"/>
      <c r="BE12" s="434"/>
      <c r="BF12" s="1072">
        <v>0</v>
      </c>
    </row>
    <row r="13" spans="1:58" ht="11.25" hidden="1" customHeight="1">
      <c r="A13" s="1184"/>
      <c r="B13" s="1184"/>
      <c r="C13" s="1184"/>
      <c r="D13" s="1184"/>
      <c r="E13" s="3224"/>
      <c r="F13" s="3224"/>
      <c r="G13" s="3224"/>
      <c r="H13" s="3224"/>
      <c r="I13" s="3067"/>
      <c r="J13" s="1184"/>
      <c r="K13" s="1184"/>
      <c r="L13" s="1184"/>
      <c r="M13" s="1227"/>
      <c r="N13" s="443"/>
      <c r="Q13" s="3198"/>
      <c r="R13" s="1248"/>
      <c r="S13" s="1248"/>
      <c r="T13" s="290"/>
      <c r="U13" s="1195"/>
      <c r="V13" s="299" t="s">
        <v>447</v>
      </c>
      <c r="W13" s="301"/>
      <c r="X13" s="301"/>
      <c r="Y13" s="301"/>
      <c r="Z13" s="301"/>
      <c r="AA13" s="301"/>
      <c r="AB13" s="301"/>
      <c r="AC13" s="301"/>
      <c r="AD13" s="301"/>
      <c r="AE13" s="301"/>
      <c r="AF13" s="300"/>
      <c r="AG13" s="301"/>
      <c r="AH13" s="301"/>
      <c r="AI13" s="301"/>
      <c r="AJ13" s="301"/>
      <c r="AK13" s="301"/>
      <c r="AL13" s="301"/>
      <c r="AM13" s="301"/>
      <c r="AN13" s="301"/>
      <c r="AO13" s="300"/>
      <c r="AP13" s="2744"/>
      <c r="AQ13" s="2745"/>
      <c r="AR13" s="2746"/>
      <c r="AS13" s="2747"/>
      <c r="AT13" s="2748"/>
      <c r="AU13" s="2749"/>
      <c r="AV13" s="2750"/>
      <c r="AW13" s="2751"/>
      <c r="AX13" s="2752"/>
      <c r="AY13" s="301"/>
      <c r="AZ13" s="238"/>
      <c r="BB13" s="434"/>
      <c r="BC13" s="434" t="str">
        <f t="shared" si="1"/>
        <v>Добавить группу потребителей</v>
      </c>
      <c r="BD13" s="434"/>
      <c r="BE13" s="434"/>
      <c r="BF13" s="1072">
        <v>0</v>
      </c>
    </row>
    <row r="14" spans="1:58" ht="14.25" hidden="1" customHeight="1">
      <c r="A14" s="1184"/>
      <c r="B14" s="1184"/>
      <c r="C14" s="1184"/>
      <c r="D14" s="1184"/>
      <c r="E14" s="3224"/>
      <c r="F14" s="3224"/>
      <c r="G14" s="3224"/>
      <c r="H14" s="3223"/>
      <c r="I14" s="1184"/>
      <c r="J14" s="1184"/>
      <c r="K14" s="1184"/>
      <c r="L14" s="1184"/>
      <c r="M14" s="1227"/>
      <c r="N14" s="622"/>
      <c r="O14" s="622"/>
      <c r="P14" s="443"/>
      <c r="Q14" s="294"/>
      <c r="R14" s="309"/>
      <c r="S14" s="289"/>
      <c r="T14" s="294"/>
      <c r="U14" s="1303"/>
      <c r="V14" s="1304"/>
      <c r="W14" s="1305"/>
      <c r="X14" s="1305"/>
      <c r="Y14" s="1305"/>
      <c r="Z14" s="1305"/>
      <c r="AA14" s="1305"/>
      <c r="AB14" s="1305"/>
      <c r="AC14" s="1305"/>
      <c r="AD14" s="1305"/>
      <c r="AE14" s="1305"/>
      <c r="AF14" s="1305"/>
      <c r="AG14" s="1305"/>
      <c r="AH14" s="1305"/>
      <c r="AI14" s="1305"/>
      <c r="AJ14" s="1305"/>
      <c r="AK14" s="1305"/>
      <c r="AL14" s="1305"/>
      <c r="AM14" s="1305"/>
      <c r="AN14" s="1305"/>
      <c r="AO14" s="1305"/>
      <c r="AP14" s="2530"/>
      <c r="AQ14" s="2530"/>
      <c r="AR14" s="2530"/>
      <c r="AS14" s="2530"/>
      <c r="AT14" s="2530"/>
      <c r="AU14" s="2530"/>
      <c r="AV14" s="2530"/>
      <c r="AW14" s="2530"/>
      <c r="AX14" s="2530"/>
      <c r="AY14" s="1305"/>
      <c r="AZ14" s="1306"/>
      <c r="BB14" s="434"/>
      <c r="BC14" s="434" t="str">
        <f t="shared" si="1"/>
        <v/>
      </c>
      <c r="BD14" s="434"/>
      <c r="BE14" s="434"/>
      <c r="BF14" s="1072">
        <v>0</v>
      </c>
    </row>
    <row r="15" spans="1:58" s="2017" customFormat="1" ht="14.25" hidden="1" customHeight="1">
      <c r="A15" s="1291"/>
      <c r="B15" s="1291"/>
      <c r="C15" s="1291"/>
      <c r="D15" s="1291"/>
      <c r="E15" s="3224"/>
      <c r="F15" s="3224"/>
      <c r="G15" s="3223"/>
      <c r="H15" s="1291"/>
      <c r="I15" s="1291"/>
      <c r="J15" s="1291"/>
      <c r="K15" s="1291"/>
      <c r="L15" s="1291"/>
      <c r="M15" s="1294"/>
      <c r="N15" s="1295"/>
      <c r="O15" s="1295"/>
      <c r="P15" s="285"/>
      <c r="Q15" s="1233"/>
      <c r="R15" s="1234"/>
      <c r="S15" s="1233"/>
      <c r="T15" s="1233"/>
      <c r="U15" s="1235"/>
      <c r="V15" s="1236" t="s">
        <v>180</v>
      </c>
      <c r="W15" s="1237"/>
      <c r="X15" s="1237"/>
      <c r="Y15" s="1237"/>
      <c r="Z15" s="1237"/>
      <c r="AA15" s="1237"/>
      <c r="AB15" s="1237"/>
      <c r="AC15" s="1237"/>
      <c r="AD15" s="1237"/>
      <c r="AE15" s="1237"/>
      <c r="AF15" s="1237"/>
      <c r="AG15" s="1237"/>
      <c r="AH15" s="1237"/>
      <c r="AI15" s="1237"/>
      <c r="AJ15" s="1237"/>
      <c r="AK15" s="1237"/>
      <c r="AL15" s="1237"/>
      <c r="AM15" s="1237"/>
      <c r="AN15" s="1237"/>
      <c r="AO15" s="1237"/>
      <c r="AP15" s="2248"/>
      <c r="AQ15" s="2248"/>
      <c r="AR15" s="2248"/>
      <c r="AS15" s="2248"/>
      <c r="AT15" s="2248"/>
      <c r="AU15" s="2248"/>
      <c r="AV15" s="2248"/>
      <c r="AW15" s="2248"/>
      <c r="AX15" s="2248"/>
      <c r="AY15" s="1237"/>
      <c r="AZ15" s="1237"/>
      <c r="BB15" s="717"/>
      <c r="BC15" s="717" t="str">
        <f t="shared" si="1"/>
        <v>Добавить источник для дифференциации</v>
      </c>
      <c r="BD15" s="717"/>
      <c r="BE15" s="717"/>
      <c r="BF15" s="452">
        <v>0</v>
      </c>
    </row>
    <row r="16" spans="1:58" s="2017" customFormat="1" ht="14.25" hidden="1" customHeight="1">
      <c r="A16" s="1291"/>
      <c r="B16" s="1291"/>
      <c r="C16" s="1291"/>
      <c r="D16" s="1291"/>
      <c r="E16" s="3224"/>
      <c r="F16" s="3223"/>
      <c r="G16" s="1291"/>
      <c r="H16" s="1291"/>
      <c r="I16" s="1291"/>
      <c r="J16" s="1291"/>
      <c r="K16" s="1291"/>
      <c r="L16" s="1291"/>
      <c r="M16" s="1294"/>
      <c r="N16" s="1296"/>
      <c r="O16" s="1296"/>
      <c r="P16" s="285"/>
      <c r="Q16" s="1233"/>
      <c r="R16" s="1234"/>
      <c r="S16" s="1233"/>
      <c r="T16" s="1233"/>
      <c r="U16" s="1239"/>
      <c r="V16" s="1240" t="s">
        <v>181</v>
      </c>
      <c r="W16" s="1241"/>
      <c r="X16" s="1241"/>
      <c r="Y16" s="1241"/>
      <c r="Z16" s="1241"/>
      <c r="AA16" s="1241"/>
      <c r="AB16" s="1241"/>
      <c r="AC16" s="1241"/>
      <c r="AD16" s="1241"/>
      <c r="AE16" s="1241"/>
      <c r="AF16" s="1241"/>
      <c r="AG16" s="1241"/>
      <c r="AH16" s="1241"/>
      <c r="AI16" s="1241"/>
      <c r="AJ16" s="1241"/>
      <c r="AK16" s="1241"/>
      <c r="AL16" s="1241"/>
      <c r="AM16" s="1241"/>
      <c r="AN16" s="1241"/>
      <c r="AO16" s="1241"/>
      <c r="AP16" s="2249"/>
      <c r="AQ16" s="2249"/>
      <c r="AR16" s="2249"/>
      <c r="AS16" s="2249"/>
      <c r="AT16" s="2249"/>
      <c r="AU16" s="2249"/>
      <c r="AV16" s="2249"/>
      <c r="AW16" s="2249"/>
      <c r="AX16" s="2249"/>
      <c r="AY16" s="1241"/>
      <c r="AZ16" s="1241"/>
      <c r="BB16" s="717"/>
      <c r="BC16" s="717" t="str">
        <f t="shared" si="1"/>
        <v>Добавить централизованную систему для дифференциации</v>
      </c>
      <c r="BD16" s="717"/>
      <c r="BE16" s="717"/>
      <c r="BF16" s="452">
        <v>0</v>
      </c>
    </row>
    <row r="17" spans="1:58" s="2017" customFormat="1" ht="14.25" hidden="1" customHeight="1">
      <c r="A17" s="1291"/>
      <c r="B17" s="1291"/>
      <c r="C17" s="1291"/>
      <c r="D17" s="1291"/>
      <c r="E17" s="3223"/>
      <c r="F17" s="1291"/>
      <c r="G17" s="1291"/>
      <c r="H17" s="1291"/>
      <c r="I17" s="1291"/>
      <c r="J17" s="1291"/>
      <c r="K17" s="1291"/>
      <c r="L17" s="1291"/>
      <c r="M17" s="1294"/>
      <c r="N17" s="1296"/>
      <c r="O17" s="1296"/>
      <c r="P17" s="285"/>
      <c r="Q17" s="1233"/>
      <c r="R17" s="1234"/>
      <c r="S17" s="1233"/>
      <c r="T17" s="1233"/>
      <c r="U17" s="1239"/>
      <c r="V17" s="1242" t="s">
        <v>188</v>
      </c>
      <c r="W17" s="1241"/>
      <c r="X17" s="1241"/>
      <c r="Y17" s="1241"/>
      <c r="Z17" s="1241"/>
      <c r="AA17" s="1241"/>
      <c r="AB17" s="1241"/>
      <c r="AC17" s="1241"/>
      <c r="AD17" s="1241"/>
      <c r="AE17" s="1241"/>
      <c r="AF17" s="1241"/>
      <c r="AG17" s="1241"/>
      <c r="AH17" s="1241"/>
      <c r="AI17" s="1241"/>
      <c r="AJ17" s="1241"/>
      <c r="AK17" s="1241"/>
      <c r="AL17" s="1241"/>
      <c r="AM17" s="1241"/>
      <c r="AN17" s="1241"/>
      <c r="AO17" s="1241"/>
      <c r="AP17" s="2249"/>
      <c r="AQ17" s="2249"/>
      <c r="AR17" s="2249"/>
      <c r="AS17" s="2249"/>
      <c r="AT17" s="2249"/>
      <c r="AU17" s="2249"/>
      <c r="AV17" s="2249"/>
      <c r="AW17" s="2249"/>
      <c r="AX17" s="2249"/>
      <c r="AY17" s="1241"/>
      <c r="AZ17" s="1241"/>
      <c r="BB17" s="717"/>
      <c r="BC17" s="717" t="str">
        <f t="shared" si="1"/>
        <v>Добавить территорию для дифференциации</v>
      </c>
      <c r="BD17" s="717"/>
      <c r="BE17" s="717"/>
      <c r="BF17" s="452">
        <v>0</v>
      </c>
    </row>
    <row r="18" spans="1:58" ht="14.25" hidden="1" customHeight="1">
      <c r="AF18" s="262"/>
      <c r="AO18" s="262"/>
      <c r="AP18" s="2219"/>
      <c r="AQ18" s="2219"/>
      <c r="AR18" s="2219"/>
      <c r="AS18" s="2219"/>
      <c r="AT18" s="2219"/>
      <c r="AU18" s="2219"/>
      <c r="AV18" s="2219"/>
      <c r="AW18" s="2219"/>
      <c r="AX18" s="2219"/>
      <c r="BF18" s="1072">
        <v>0</v>
      </c>
    </row>
    <row r="19" spans="1:58" ht="14.25" hidden="1" customHeight="1">
      <c r="AG19" s="1277"/>
      <c r="AH19" s="1277"/>
      <c r="AI19" s="1277"/>
      <c r="AJ19" s="1277"/>
      <c r="AK19" s="1278"/>
      <c r="AL19" s="3204"/>
      <c r="AM19" s="3205" t="s">
        <v>67</v>
      </c>
      <c r="AN19" s="3204"/>
      <c r="AO19" s="3205" t="s">
        <v>67</v>
      </c>
      <c r="AP19" s="2219"/>
      <c r="AQ19" s="2219"/>
      <c r="AR19" s="2219"/>
      <c r="AS19" s="2219"/>
      <c r="AT19" s="2219"/>
      <c r="AU19" s="2219"/>
      <c r="AV19" s="2219"/>
      <c r="AW19" s="2219"/>
      <c r="AX19" s="2219"/>
      <c r="BF19" s="1072">
        <v>0</v>
      </c>
    </row>
    <row r="20" spans="1:58" ht="14.25" hidden="1" customHeight="1">
      <c r="AG20" s="1277"/>
      <c r="AH20" s="1277"/>
      <c r="AI20" s="1277"/>
      <c r="AJ20" s="1277"/>
      <c r="AK20" s="1278"/>
      <c r="AL20" s="3204"/>
      <c r="AM20" s="3205"/>
      <c r="AN20" s="3204"/>
      <c r="AO20" s="3205"/>
      <c r="AP20" s="2219"/>
      <c r="AQ20" s="2219"/>
      <c r="AR20" s="2219"/>
      <c r="AS20" s="2219"/>
      <c r="AT20" s="2219"/>
      <c r="AU20" s="2219"/>
      <c r="AV20" s="2219"/>
      <c r="AW20" s="2219"/>
      <c r="AX20" s="2219"/>
      <c r="BF20" s="1072">
        <v>0</v>
      </c>
    </row>
    <row r="21" spans="1:58" ht="14.25" hidden="1" customHeight="1">
      <c r="AG21" s="1277"/>
      <c r="AH21" s="1277"/>
      <c r="AI21" s="1277"/>
      <c r="AJ21" s="1277"/>
      <c r="AK21" s="1278"/>
      <c r="AL21" s="3204"/>
      <c r="AM21" s="3205"/>
      <c r="AN21" s="3204"/>
      <c r="AO21" s="3205"/>
      <c r="AP21" s="2219"/>
      <c r="AQ21" s="2219"/>
      <c r="AR21" s="2219"/>
      <c r="AS21" s="2219"/>
      <c r="AT21" s="2219"/>
      <c r="AU21" s="2219"/>
      <c r="AV21" s="2219"/>
      <c r="AW21" s="2219"/>
      <c r="AX21" s="2219"/>
      <c r="BF21" s="1072">
        <v>0</v>
      </c>
    </row>
    <row r="22" spans="1:58" ht="14.25" hidden="1" customHeight="1">
      <c r="AG22" s="1277"/>
      <c r="AH22" s="1277"/>
      <c r="AI22" s="1277"/>
      <c r="AJ22" s="1277"/>
      <c r="AK22" s="263" t="str">
        <f>AL19&amp;"-"&amp;AN19</f>
        <v>-</v>
      </c>
      <c r="AL22" s="3205"/>
      <c r="AM22" s="3205"/>
      <c r="AN22" s="3205"/>
      <c r="AO22" s="3205"/>
      <c r="AP22" s="2219"/>
      <c r="AQ22" s="2219"/>
      <c r="AR22" s="2219"/>
      <c r="AS22" s="2219"/>
      <c r="AT22" s="2219"/>
      <c r="AU22" s="2219"/>
      <c r="AV22" s="2219"/>
      <c r="AW22" s="2219"/>
      <c r="AX22" s="2219"/>
      <c r="BF22" s="1072">
        <v>0</v>
      </c>
    </row>
    <row r="23" spans="1:58" ht="14.25" hidden="1" customHeight="1">
      <c r="AO23" s="262"/>
      <c r="AP23" s="2219"/>
      <c r="AQ23" s="2219"/>
      <c r="AR23" s="2219"/>
      <c r="AS23" s="2219"/>
      <c r="AT23" s="2219"/>
      <c r="AU23" s="2219"/>
      <c r="AV23" s="2219"/>
      <c r="AW23" s="2219"/>
      <c r="AX23" s="2219"/>
      <c r="BF23" s="1072">
        <v>0</v>
      </c>
    </row>
    <row r="24" spans="1:58" s="2016" customFormat="1" ht="22.5" hidden="1" customHeight="1">
      <c r="A24" s="1072"/>
      <c r="B24" s="1072"/>
      <c r="C24" s="1072"/>
      <c r="D24" s="1072"/>
      <c r="E24" s="1072"/>
      <c r="F24" s="1072"/>
      <c r="G24" s="1072"/>
      <c r="H24" s="1072"/>
      <c r="I24" s="1072"/>
      <c r="J24" s="1072"/>
      <c r="K24" s="1072"/>
      <c r="L24" s="1072"/>
      <c r="M24" s="1244"/>
      <c r="N24" s="1245"/>
      <c r="O24" s="1245"/>
      <c r="P24" s="1262" t="s">
        <v>449</v>
      </c>
      <c r="Q24" s="1279"/>
      <c r="R24" s="1288"/>
      <c r="S24" s="1288"/>
      <c r="T24" s="1288"/>
      <c r="U24" s="663"/>
      <c r="AC24" s="1284"/>
      <c r="AE24" s="1284"/>
      <c r="AF24" s="1283"/>
      <c r="AL24" s="1284"/>
      <c r="AN24" s="1284"/>
      <c r="AO24" s="1283"/>
      <c r="AP24" s="2250"/>
      <c r="AQ24" s="2250"/>
      <c r="AR24" s="2250"/>
      <c r="AS24" s="2250"/>
      <c r="AT24" s="2250"/>
      <c r="AU24" s="2251"/>
      <c r="AV24" s="2250"/>
      <c r="AW24" s="2251"/>
      <c r="AX24" s="2250"/>
      <c r="BA24" s="445"/>
      <c r="BB24" s="445"/>
      <c r="BC24" s="445"/>
      <c r="BD24" s="445"/>
      <c r="BE24" s="445"/>
      <c r="BF24" s="1077">
        <v>0</v>
      </c>
    </row>
    <row r="25" spans="1:58" s="2016" customFormat="1" ht="14.25" hidden="1" customHeight="1">
      <c r="A25" s="1072"/>
      <c r="B25" s="1072"/>
      <c r="C25" s="1072"/>
      <c r="D25" s="1072"/>
      <c r="E25" s="1072"/>
      <c r="F25" s="1072"/>
      <c r="G25" s="1072"/>
      <c r="H25" s="1072"/>
      <c r="I25" s="1072"/>
      <c r="J25" s="1072"/>
      <c r="K25" s="1072"/>
      <c r="L25" s="1072"/>
      <c r="M25" s="1244"/>
      <c r="N25" s="1245"/>
      <c r="O25" s="1245"/>
      <c r="P25" s="1245"/>
      <c r="Q25" s="1279"/>
      <c r="R25" s="1288"/>
      <c r="S25" s="1288"/>
      <c r="T25" s="1288"/>
      <c r="U25" s="663"/>
      <c r="AF25" s="1283"/>
      <c r="AO25" s="1283"/>
      <c r="AP25" s="2250"/>
      <c r="AQ25" s="2250"/>
      <c r="AR25" s="2250"/>
      <c r="AS25" s="2250"/>
      <c r="AT25" s="2250"/>
      <c r="AU25" s="2250"/>
      <c r="AV25" s="2250"/>
      <c r="AW25" s="2250"/>
      <c r="AX25" s="2250"/>
      <c r="BA25" s="445"/>
      <c r="BB25" s="445"/>
      <c r="BC25" s="445"/>
      <c r="BD25" s="445"/>
      <c r="BE25" s="445"/>
      <c r="BF25" s="1077">
        <v>0</v>
      </c>
    </row>
    <row r="26" spans="1:58" s="2016" customFormat="1" ht="14.25" hidden="1" customHeight="1">
      <c r="A26" s="1072"/>
      <c r="B26" s="1072"/>
      <c r="C26" s="1072"/>
      <c r="D26" s="1072"/>
      <c r="E26" s="1072"/>
      <c r="F26" s="1072"/>
      <c r="G26" s="1072"/>
      <c r="H26" s="1072"/>
      <c r="I26" s="1072"/>
      <c r="J26" s="1072"/>
      <c r="K26" s="1072"/>
      <c r="L26" s="1072"/>
      <c r="M26" s="1244"/>
      <c r="N26" s="1245"/>
      <c r="O26" s="1245"/>
      <c r="P26" s="1227" t="s">
        <v>450</v>
      </c>
      <c r="Q26" s="1279"/>
      <c r="R26" s="1288"/>
      <c r="S26" s="1288"/>
      <c r="T26" s="1288"/>
      <c r="U26" s="663"/>
      <c r="V26" s="1077" t="s">
        <v>451</v>
      </c>
      <c r="AD26" s="121" t="s">
        <v>452</v>
      </c>
      <c r="AF26" s="121" t="s">
        <v>453</v>
      </c>
      <c r="AG26" s="1077" t="s">
        <v>451</v>
      </c>
      <c r="AM26" s="121" t="s">
        <v>454</v>
      </c>
      <c r="AO26" s="121" t="s">
        <v>453</v>
      </c>
      <c r="AP26" s="2250"/>
      <c r="AQ26" s="2250"/>
      <c r="AR26" s="2250"/>
      <c r="AS26" s="2250"/>
      <c r="AT26" s="2250"/>
      <c r="AU26" s="2250"/>
      <c r="AV26" s="2252" t="s">
        <v>452</v>
      </c>
      <c r="AW26" s="2250"/>
      <c r="AX26" s="2252" t="s">
        <v>453</v>
      </c>
      <c r="BA26" s="445"/>
      <c r="BB26" s="445"/>
      <c r="BC26" s="445"/>
      <c r="BD26" s="445"/>
      <c r="BE26" s="445"/>
      <c r="BF26" s="1077">
        <v>0</v>
      </c>
    </row>
    <row r="27" spans="1:58" ht="14.25" hidden="1" customHeight="1">
      <c r="P27" s="1227"/>
      <c r="AP27" s="2219"/>
      <c r="AQ27" s="2219"/>
      <c r="AR27" s="2219"/>
      <c r="AS27" s="2219"/>
      <c r="AT27" s="2219"/>
      <c r="AU27" s="2219"/>
      <c r="AV27" s="2219"/>
      <c r="AW27" s="2219"/>
      <c r="AX27" s="2219"/>
      <c r="BF27" s="1072">
        <v>0</v>
      </c>
    </row>
    <row r="28" spans="1:58" ht="14.25" hidden="1" customHeight="1">
      <c r="P28" s="1227"/>
      <c r="AP28" s="2219"/>
      <c r="AQ28" s="2219"/>
      <c r="AR28" s="2219"/>
      <c r="AS28" s="2219"/>
      <c r="AT28" s="2219"/>
      <c r="AU28" s="2219"/>
      <c r="AV28" s="2219"/>
      <c r="AW28" s="2219"/>
      <c r="AX28" s="2219"/>
      <c r="BF28" s="1072">
        <v>0</v>
      </c>
    </row>
    <row r="29" spans="1:58" ht="14.65" customHeight="1">
      <c r="R29" s="310"/>
      <c r="S29" s="310"/>
      <c r="T29" s="310"/>
      <c r="U29" s="1192"/>
      <c r="V29" s="297"/>
      <c r="W29" s="297"/>
      <c r="X29" s="443"/>
      <c r="Y29" s="443"/>
      <c r="Z29" s="443"/>
      <c r="AA29" s="443"/>
      <c r="AB29" s="443"/>
      <c r="AC29" s="443"/>
      <c r="AD29" s="443"/>
      <c r="AE29" s="443"/>
      <c r="AF29" s="443"/>
      <c r="AG29" s="443"/>
      <c r="AH29" s="443"/>
      <c r="AI29" s="443"/>
      <c r="AJ29" s="443"/>
      <c r="AK29" s="443"/>
      <c r="AL29" s="443"/>
      <c r="AM29" s="443"/>
      <c r="AN29" s="443"/>
      <c r="AO29" s="443"/>
      <c r="AP29" s="2219"/>
      <c r="AQ29" s="2219"/>
      <c r="AR29" s="2219"/>
      <c r="AS29" s="2219"/>
      <c r="AT29" s="2219"/>
      <c r="AU29" s="2219"/>
      <c r="AV29" s="2219"/>
      <c r="AW29" s="2219"/>
      <c r="AX29" s="2219"/>
      <c r="BF29" s="1072">
        <v>14</v>
      </c>
    </row>
    <row r="30" spans="1:58" ht="56.75" customHeight="1">
      <c r="R30" s="310"/>
      <c r="S30" s="310"/>
      <c r="T30" s="310"/>
      <c r="U30" s="3183"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3183"/>
      <c r="W30" s="3183"/>
      <c r="X30" s="3183"/>
      <c r="Y30" s="3183"/>
      <c r="Z30" s="3183"/>
      <c r="AA30" s="3183"/>
      <c r="AB30" s="3183"/>
      <c r="AC30" s="3183"/>
      <c r="AD30" s="3183"/>
      <c r="AE30" s="3183"/>
      <c r="AF30" s="3183"/>
      <c r="AG30" s="3183"/>
      <c r="AH30" s="3183"/>
      <c r="AI30" s="3183"/>
      <c r="AJ30" s="3183"/>
      <c r="AK30" s="3183"/>
      <c r="AL30" s="3183"/>
      <c r="AM30" s="3183"/>
      <c r="AN30" s="3183"/>
      <c r="AO30" s="1160"/>
      <c r="AP30" s="2253"/>
      <c r="AQ30" s="2253"/>
      <c r="AR30" s="2253"/>
      <c r="AS30" s="2253"/>
      <c r="AT30" s="2253"/>
      <c r="AU30" s="2253"/>
      <c r="AV30" s="2253"/>
      <c r="AW30" s="2253"/>
      <c r="AX30" s="2253"/>
      <c r="BF30" s="1072">
        <v>54</v>
      </c>
    </row>
    <row r="31" spans="1:58" ht="14.65" customHeight="1">
      <c r="R31" s="310"/>
      <c r="S31" s="310"/>
      <c r="T31" s="310"/>
      <c r="U31" s="3131" t="str">
        <f>IF(org=0,"Не определено",org)</f>
        <v>ООО "РСО"</v>
      </c>
      <c r="V31" s="3131"/>
      <c r="W31" s="3131"/>
      <c r="X31" s="3131"/>
      <c r="Y31" s="3131"/>
      <c r="Z31" s="3131"/>
      <c r="AA31" s="3131"/>
      <c r="AB31" s="3131"/>
      <c r="AC31" s="3131"/>
      <c r="AD31" s="3131"/>
      <c r="AE31" s="3131"/>
      <c r="AF31" s="3131"/>
      <c r="AG31" s="3131"/>
      <c r="AH31" s="3131"/>
      <c r="AI31" s="3131"/>
      <c r="AJ31" s="3131"/>
      <c r="AK31" s="3131"/>
      <c r="AL31" s="3131"/>
      <c r="AM31" s="3131"/>
      <c r="AN31" s="3131"/>
      <c r="AO31" s="1160"/>
      <c r="AP31" s="2254"/>
      <c r="AQ31" s="2254"/>
      <c r="AR31" s="2254"/>
      <c r="AS31" s="2254"/>
      <c r="AT31" s="2254"/>
      <c r="AU31" s="2254"/>
      <c r="AV31" s="2254"/>
      <c r="AW31" s="2254"/>
      <c r="AX31" s="2254"/>
      <c r="BF31" s="1072">
        <v>14</v>
      </c>
    </row>
    <row r="32" spans="1:58" ht="14.25" hidden="1" customHeight="1">
      <c r="R32" s="310"/>
      <c r="S32" s="310"/>
      <c r="T32" s="310"/>
      <c r="U32" s="1192"/>
      <c r="V32" s="297"/>
      <c r="W32" s="297"/>
      <c r="X32" s="257"/>
      <c r="Y32" s="257"/>
      <c r="Z32" s="257"/>
      <c r="AA32" s="257"/>
      <c r="AB32" s="257"/>
      <c r="AC32" s="257"/>
      <c r="AD32" s="257"/>
      <c r="AE32" s="257"/>
      <c r="AF32" s="257"/>
      <c r="AG32" s="257"/>
      <c r="AH32" s="257"/>
      <c r="AI32" s="257"/>
      <c r="AJ32" s="257"/>
      <c r="AK32" s="257"/>
      <c r="AL32" s="257"/>
      <c r="AM32" s="257"/>
      <c r="AN32" s="257"/>
      <c r="AO32" s="257"/>
      <c r="AP32" s="2255"/>
      <c r="AQ32" s="2255"/>
      <c r="AR32" s="2255"/>
      <c r="AS32" s="2255"/>
      <c r="AT32" s="2255"/>
      <c r="AU32" s="2255"/>
      <c r="AV32" s="2255"/>
      <c r="AW32" s="2255"/>
      <c r="AX32" s="2255"/>
      <c r="AY32" s="443"/>
      <c r="BF32" s="1072">
        <v>0</v>
      </c>
    </row>
    <row r="33" spans="1:58" s="2028" customFormat="1" ht="25.5" hidden="1" customHeight="1">
      <c r="A33" s="1165"/>
      <c r="B33" s="1165"/>
      <c r="C33" s="1165"/>
      <c r="D33" s="1165"/>
      <c r="E33" s="1165"/>
      <c r="F33" s="1165"/>
      <c r="G33" s="1165"/>
      <c r="H33" s="1165"/>
      <c r="I33" s="1165"/>
      <c r="J33" s="1165"/>
      <c r="K33" s="1165"/>
      <c r="L33" s="1165"/>
      <c r="M33" s="1297"/>
      <c r="N33" s="1165"/>
      <c r="O33" s="1165"/>
      <c r="P33" s="1165"/>
      <c r="U33" s="3191" t="s">
        <v>42</v>
      </c>
      <c r="V33" s="3191"/>
      <c r="W33" s="1289"/>
      <c r="X33" s="3192" t="str">
        <f>IF(TITLE_NAME_OR_PR_CHANGE="",IF(TITLE_NAME_OR_PR="","",TITLE_NAME_OR_PR),TITLE_NAME_OR_PR_CHANGE)</f>
        <v/>
      </c>
      <c r="Y33" s="3192"/>
      <c r="Z33" s="3192"/>
      <c r="AA33" s="3192"/>
      <c r="AB33" s="3192"/>
      <c r="AC33" s="3192"/>
      <c r="AD33" s="3192"/>
      <c r="AE33" s="3192"/>
      <c r="AF33" s="261"/>
      <c r="AG33" s="3192" t="str">
        <f>IF(TITLE_NAME_OR_PR_CHANGE="",IF(TITLE_NAME_OR_PR="","",TITLE_NAME_OR_PR),TITLE_NAME_OR_PR_CHANGE)</f>
        <v/>
      </c>
      <c r="AH33" s="3192"/>
      <c r="AI33" s="3192"/>
      <c r="AJ33" s="3192"/>
      <c r="AK33" s="3192"/>
      <c r="AL33" s="3192"/>
      <c r="AM33" s="3192"/>
      <c r="AN33" s="3192"/>
      <c r="AO33" s="261"/>
      <c r="AP33" s="3192" t="str">
        <f>IF(TITLE_NAME_OR_PR_CHANGE="",IF(TITLE_NAME_OR_PR="","",TITLE_NAME_OR_PR),TITLE_NAME_OR_PR_CHANGE)</f>
        <v/>
      </c>
      <c r="AQ33" s="3192"/>
      <c r="AR33" s="3192"/>
      <c r="AS33" s="3192"/>
      <c r="AT33" s="3192"/>
      <c r="AU33" s="3192"/>
      <c r="AV33" s="3192"/>
      <c r="AW33" s="3192"/>
      <c r="AX33" s="2219"/>
      <c r="AY33" s="261"/>
      <c r="AZ33" s="215"/>
      <c r="BA33" s="302"/>
      <c r="BB33" s="302"/>
      <c r="BC33" s="302"/>
      <c r="BD33" s="302"/>
      <c r="BE33" s="302"/>
      <c r="BF33" s="352">
        <v>0</v>
      </c>
    </row>
    <row r="34" spans="1:58" s="2028" customFormat="1" ht="18.75" hidden="1" customHeight="1">
      <c r="A34" s="1165"/>
      <c r="B34" s="1165"/>
      <c r="C34" s="1165"/>
      <c r="D34" s="1165"/>
      <c r="E34" s="1165"/>
      <c r="F34" s="1165"/>
      <c r="G34" s="1165"/>
      <c r="H34" s="1165"/>
      <c r="I34" s="1165"/>
      <c r="J34" s="1165"/>
      <c r="K34" s="1165"/>
      <c r="L34" s="1165"/>
      <c r="M34" s="1297"/>
      <c r="N34" s="1165"/>
      <c r="O34" s="1165"/>
      <c r="P34" s="1165"/>
      <c r="U34" s="3191" t="s">
        <v>455</v>
      </c>
      <c r="V34" s="3191"/>
      <c r="W34" s="1289"/>
      <c r="X34" s="3201">
        <f>IF(TITLE_DATE_PR_CHANGE="",IF(TITLE_DATE_PR="","",TITLE_DATE_PR),TITLE_DATE_PR_CHANGE)</f>
        <v>45408</v>
      </c>
      <c r="Y34" s="3201"/>
      <c r="Z34" s="3201"/>
      <c r="AA34" s="3201"/>
      <c r="AB34" s="3201"/>
      <c r="AC34" s="3201"/>
      <c r="AD34" s="3201"/>
      <c r="AE34" s="3201"/>
      <c r="AF34" s="261"/>
      <c r="AG34" s="3201">
        <f>IF(TITLE_DATE_PR_CHANGE="",IF(TITLE_DATE_PR="","",TITLE_DATE_PR),TITLE_DATE_PR_CHANGE)</f>
        <v>45408</v>
      </c>
      <c r="AH34" s="3201"/>
      <c r="AI34" s="3201"/>
      <c r="AJ34" s="3201"/>
      <c r="AK34" s="3201"/>
      <c r="AL34" s="3201"/>
      <c r="AM34" s="3201"/>
      <c r="AN34" s="3201"/>
      <c r="AO34" s="261"/>
      <c r="AP34" s="3201">
        <f>IF(TITLE_DATE_PR_CHANGE="",IF(TITLE_DATE_PR="","",TITLE_DATE_PR),TITLE_DATE_PR_CHANGE)</f>
        <v>45408</v>
      </c>
      <c r="AQ34" s="3201"/>
      <c r="AR34" s="3201"/>
      <c r="AS34" s="3201"/>
      <c r="AT34" s="3201"/>
      <c r="AU34" s="3201"/>
      <c r="AV34" s="3201"/>
      <c r="AW34" s="3201"/>
      <c r="AX34" s="2219"/>
      <c r="AY34" s="261"/>
      <c r="AZ34" s="215"/>
      <c r="BA34" s="302"/>
      <c r="BB34" s="302"/>
      <c r="BC34" s="302"/>
      <c r="BD34" s="302"/>
      <c r="BE34" s="302"/>
      <c r="BF34" s="352">
        <v>0</v>
      </c>
    </row>
    <row r="35" spans="1:58" s="2028" customFormat="1" ht="18.75" hidden="1" customHeight="1">
      <c r="A35" s="1165"/>
      <c r="B35" s="1165"/>
      <c r="C35" s="1165"/>
      <c r="D35" s="1165"/>
      <c r="E35" s="1165"/>
      <c r="F35" s="1165"/>
      <c r="G35" s="1165"/>
      <c r="H35" s="1165"/>
      <c r="I35" s="1165"/>
      <c r="J35" s="1165"/>
      <c r="K35" s="1165"/>
      <c r="L35" s="1165"/>
      <c r="M35" s="1297"/>
      <c r="N35" s="1165"/>
      <c r="O35" s="1165"/>
      <c r="P35" s="1165"/>
      <c r="U35" s="3191" t="s">
        <v>456</v>
      </c>
      <c r="V35" s="3191"/>
      <c r="W35" s="1289"/>
      <c r="X35" s="3192" t="str">
        <f>IF(TITLE_NUMBER_PR_CHANGE="",IF(TITLE_NUMBER_PR="","",TITLE_NUMBER_PR),TITLE_NUMBER_PR_CHANGE)</f>
        <v>04-24/132, 04-24/131</v>
      </c>
      <c r="Y35" s="3192"/>
      <c r="Z35" s="3192"/>
      <c r="AA35" s="3192"/>
      <c r="AB35" s="3192"/>
      <c r="AC35" s="3192"/>
      <c r="AD35" s="3192"/>
      <c r="AE35" s="3192"/>
      <c r="AF35" s="261"/>
      <c r="AG35" s="3192" t="str">
        <f>IF(TITLE_NUMBER_PR_CHANGE="",IF(TITLE_NUMBER_PR="","",TITLE_NUMBER_PR),TITLE_NUMBER_PR_CHANGE)</f>
        <v>04-24/132, 04-24/131</v>
      </c>
      <c r="AH35" s="3192"/>
      <c r="AI35" s="3192"/>
      <c r="AJ35" s="3192"/>
      <c r="AK35" s="3192"/>
      <c r="AL35" s="3192"/>
      <c r="AM35" s="3192"/>
      <c r="AN35" s="3192"/>
      <c r="AO35" s="261"/>
      <c r="AP35" s="3192" t="str">
        <f>IF(TITLE_NUMBER_PR_CHANGE="",IF(TITLE_NUMBER_PR="","",TITLE_NUMBER_PR),TITLE_NUMBER_PR_CHANGE)</f>
        <v>04-24/132, 04-24/131</v>
      </c>
      <c r="AQ35" s="3192"/>
      <c r="AR35" s="3192"/>
      <c r="AS35" s="3192"/>
      <c r="AT35" s="3192"/>
      <c r="AU35" s="3192"/>
      <c r="AV35" s="3192"/>
      <c r="AW35" s="3192"/>
      <c r="AX35" s="2219"/>
      <c r="AY35" s="261"/>
      <c r="AZ35" s="215"/>
      <c r="BA35" s="302"/>
      <c r="BB35" s="302"/>
      <c r="BC35" s="302"/>
      <c r="BD35" s="302"/>
      <c r="BE35" s="302"/>
      <c r="BF35" s="352">
        <v>0</v>
      </c>
    </row>
    <row r="36" spans="1:58" s="2028" customFormat="1" ht="18.75" hidden="1" customHeight="1">
      <c r="A36" s="1165"/>
      <c r="B36" s="1165"/>
      <c r="C36" s="1165"/>
      <c r="D36" s="1165"/>
      <c r="E36" s="1165"/>
      <c r="F36" s="1165"/>
      <c r="G36" s="1165"/>
      <c r="H36" s="1165"/>
      <c r="I36" s="1165"/>
      <c r="J36" s="1165"/>
      <c r="K36" s="1165"/>
      <c r="L36" s="1165"/>
      <c r="M36" s="1297"/>
      <c r="N36" s="1165"/>
      <c r="O36" s="1165"/>
      <c r="P36" s="1165"/>
      <c r="U36" s="3191" t="s">
        <v>43</v>
      </c>
      <c r="V36" s="3191"/>
      <c r="W36" s="1289"/>
      <c r="X36" s="3192" t="str">
        <f>IF(TITLE_IST_PUB_CHANGE="",IF(TITLE_IST_PUB="","",TITLE_IST_PUB),TITLE_IST_PUB_CHANGE)</f>
        <v/>
      </c>
      <c r="Y36" s="3192"/>
      <c r="Z36" s="3192"/>
      <c r="AA36" s="3192"/>
      <c r="AB36" s="3192"/>
      <c r="AC36" s="3192"/>
      <c r="AD36" s="3192"/>
      <c r="AE36" s="3192"/>
      <c r="AF36" s="261"/>
      <c r="AG36" s="3192" t="str">
        <f>IF(TITLE_IST_PUB_CHANGE="",IF(TITLE_IST_PUB="","",TITLE_IST_PUB),TITLE_IST_PUB_CHANGE)</f>
        <v/>
      </c>
      <c r="AH36" s="3192"/>
      <c r="AI36" s="3192"/>
      <c r="AJ36" s="3192"/>
      <c r="AK36" s="3192"/>
      <c r="AL36" s="3192"/>
      <c r="AM36" s="3192"/>
      <c r="AN36" s="3192"/>
      <c r="AO36" s="261"/>
      <c r="AP36" s="3192" t="str">
        <f>IF(TITLE_IST_PUB_CHANGE="",IF(TITLE_IST_PUB="","",TITLE_IST_PUB),TITLE_IST_PUB_CHANGE)</f>
        <v/>
      </c>
      <c r="AQ36" s="3192"/>
      <c r="AR36" s="3192"/>
      <c r="AS36" s="3192"/>
      <c r="AT36" s="3192"/>
      <c r="AU36" s="3192"/>
      <c r="AV36" s="3192"/>
      <c r="AW36" s="3192"/>
      <c r="AX36" s="2219"/>
      <c r="AY36" s="261"/>
      <c r="AZ36" s="215"/>
      <c r="BA36" s="302"/>
      <c r="BB36" s="302"/>
      <c r="BC36" s="302"/>
      <c r="BD36" s="302"/>
      <c r="BE36" s="302"/>
      <c r="BF36" s="352">
        <v>0</v>
      </c>
    </row>
    <row r="37" spans="1:58" ht="14.25" customHeight="1">
      <c r="R37" s="310"/>
      <c r="S37" s="310"/>
      <c r="T37" s="310"/>
      <c r="U37" s="1192"/>
      <c r="V37" s="297"/>
      <c r="W37" s="297"/>
      <c r="X37" s="257"/>
      <c r="Y37" s="257"/>
      <c r="Z37" s="257"/>
      <c r="AA37" s="257"/>
      <c r="AB37" s="257"/>
      <c r="AC37" s="257"/>
      <c r="AD37" s="257"/>
      <c r="AE37" s="257"/>
      <c r="AF37" s="257"/>
      <c r="AG37" s="257"/>
      <c r="AH37" s="257"/>
      <c r="AI37" s="257"/>
      <c r="AJ37" s="257"/>
      <c r="AK37" s="257"/>
      <c r="AL37" s="257"/>
      <c r="AM37" s="257"/>
      <c r="AN37" s="257"/>
      <c r="AO37" s="257"/>
      <c r="AP37" s="2255"/>
      <c r="AQ37" s="2255"/>
      <c r="AR37" s="2255"/>
      <c r="AS37" s="2255"/>
      <c r="AT37" s="2255"/>
      <c r="AU37" s="2255"/>
      <c r="AV37" s="2255"/>
      <c r="AW37" s="2255"/>
      <c r="AX37" s="2255"/>
      <c r="AY37" s="443"/>
      <c r="BF37" s="1072">
        <v>0</v>
      </c>
    </row>
    <row r="38" spans="1:58" s="2028" customFormat="1" ht="18.75" customHeight="1">
      <c r="A38" s="1165"/>
      <c r="B38" s="1165"/>
      <c r="C38" s="1165"/>
      <c r="D38" s="1165"/>
      <c r="E38" s="1165"/>
      <c r="F38" s="1165"/>
      <c r="G38" s="1165"/>
      <c r="H38" s="1165"/>
      <c r="I38" s="1165"/>
      <c r="J38" s="1165"/>
      <c r="K38" s="1165"/>
      <c r="L38" s="1165"/>
      <c r="M38" s="1297"/>
      <c r="N38" s="1165"/>
      <c r="O38" s="1165"/>
      <c r="P38" s="1165"/>
      <c r="U38" s="3191" t="s">
        <v>457</v>
      </c>
      <c r="V38" s="3191"/>
      <c r="W38" s="1289"/>
      <c r="X38" s="3201">
        <f>IF(TITLE_DATE_PR_CHANGE="",IF(TITLE_DATE_PR="","",TITLE_DATE_PR),TITLE_DATE_PR_CHANGE)</f>
        <v>45408</v>
      </c>
      <c r="Y38" s="3201"/>
      <c r="Z38" s="3201"/>
      <c r="AA38" s="3201"/>
      <c r="AB38" s="3201"/>
      <c r="AC38" s="3201"/>
      <c r="AD38" s="3201"/>
      <c r="AE38" s="3201"/>
      <c r="AF38" s="261"/>
      <c r="AG38" s="3201">
        <f>IF(TITLE_DATE_PR_CHANGE="",IF(TITLE_DATE_PR="","",TITLE_DATE_PR),TITLE_DATE_PR_CHANGE)</f>
        <v>45408</v>
      </c>
      <c r="AH38" s="3201"/>
      <c r="AI38" s="3201"/>
      <c r="AJ38" s="3201"/>
      <c r="AK38" s="3201"/>
      <c r="AL38" s="3201"/>
      <c r="AM38" s="3201"/>
      <c r="AN38" s="3201"/>
      <c r="AO38" s="261"/>
      <c r="AP38" s="3201">
        <f>IF(TITLE_DATE_PR_CHANGE="",IF(TITLE_DATE_PR="","",TITLE_DATE_PR),TITLE_DATE_PR_CHANGE)</f>
        <v>45408</v>
      </c>
      <c r="AQ38" s="3201"/>
      <c r="AR38" s="3201"/>
      <c r="AS38" s="3201"/>
      <c r="AT38" s="3201"/>
      <c r="AU38" s="3201"/>
      <c r="AV38" s="3201"/>
      <c r="AW38" s="3201"/>
      <c r="AX38" s="2219"/>
      <c r="AY38" s="261"/>
      <c r="AZ38" s="215"/>
      <c r="BA38" s="302"/>
      <c r="BB38" s="302"/>
      <c r="BC38" s="302"/>
      <c r="BD38" s="302"/>
      <c r="BE38" s="302"/>
      <c r="BF38" s="352">
        <v>0</v>
      </c>
    </row>
    <row r="39" spans="1:58" s="2028" customFormat="1" ht="18.75" customHeight="1">
      <c r="A39" s="1165"/>
      <c r="B39" s="1165"/>
      <c r="C39" s="1165"/>
      <c r="D39" s="1165"/>
      <c r="E39" s="1165"/>
      <c r="F39" s="1165"/>
      <c r="G39" s="1165"/>
      <c r="H39" s="1165"/>
      <c r="I39" s="1165"/>
      <c r="J39" s="1165"/>
      <c r="K39" s="1165"/>
      <c r="L39" s="1165"/>
      <c r="M39" s="1297"/>
      <c r="N39" s="1165"/>
      <c r="O39" s="1165"/>
      <c r="P39" s="1165"/>
      <c r="U39" s="3191" t="s">
        <v>458</v>
      </c>
      <c r="V39" s="3191"/>
      <c r="W39" s="1289"/>
      <c r="X39" s="3192" t="str">
        <f>IF(TITLE_NUMBER_PR_CHANGE="",IF(TITLE_NUMBER_PR="","",TITLE_NUMBER_PR),TITLE_NUMBER_PR_CHANGE)</f>
        <v>04-24/132, 04-24/131</v>
      </c>
      <c r="Y39" s="3192"/>
      <c r="Z39" s="3192"/>
      <c r="AA39" s="3192"/>
      <c r="AB39" s="3192"/>
      <c r="AC39" s="3192"/>
      <c r="AD39" s="3192"/>
      <c r="AE39" s="3192"/>
      <c r="AF39" s="261"/>
      <c r="AG39" s="3192" t="str">
        <f>IF(TITLE_NUMBER_PR_CHANGE="",IF(TITLE_NUMBER_PR="","",TITLE_NUMBER_PR),TITLE_NUMBER_PR_CHANGE)</f>
        <v>04-24/132, 04-24/131</v>
      </c>
      <c r="AH39" s="3192"/>
      <c r="AI39" s="3192"/>
      <c r="AJ39" s="3192"/>
      <c r="AK39" s="3192"/>
      <c r="AL39" s="3192"/>
      <c r="AM39" s="3192"/>
      <c r="AN39" s="3192"/>
      <c r="AO39" s="261"/>
      <c r="AP39" s="3192" t="str">
        <f>IF(TITLE_NUMBER_PR_CHANGE="",IF(TITLE_NUMBER_PR="","",TITLE_NUMBER_PR),TITLE_NUMBER_PR_CHANGE)</f>
        <v>04-24/132, 04-24/131</v>
      </c>
      <c r="AQ39" s="3192"/>
      <c r="AR39" s="3192"/>
      <c r="AS39" s="3192"/>
      <c r="AT39" s="3192"/>
      <c r="AU39" s="3192"/>
      <c r="AV39" s="3192"/>
      <c r="AW39" s="3192"/>
      <c r="AX39" s="2219"/>
      <c r="AY39" s="261"/>
      <c r="AZ39" s="215"/>
      <c r="BA39" s="302"/>
      <c r="BB39" s="302"/>
      <c r="BC39" s="302"/>
      <c r="BD39" s="302"/>
      <c r="BE39" s="302"/>
      <c r="BF39" s="352">
        <v>0</v>
      </c>
    </row>
    <row r="40" spans="1:58" s="2028" customFormat="1" ht="0" hidden="1" customHeight="1">
      <c r="A40" s="1165"/>
      <c r="B40" s="1165"/>
      <c r="C40" s="1165"/>
      <c r="D40" s="1165"/>
      <c r="E40" s="1165"/>
      <c r="F40" s="1165"/>
      <c r="G40" s="1165"/>
      <c r="H40" s="1165"/>
      <c r="I40" s="1165"/>
      <c r="J40" s="1165"/>
      <c r="K40" s="1165"/>
      <c r="L40" s="1165"/>
      <c r="M40" s="1297"/>
      <c r="N40" s="1165"/>
      <c r="O40" s="1165"/>
      <c r="P40" s="1165"/>
      <c r="U40" s="258"/>
      <c r="V40" s="258"/>
      <c r="W40" s="1257"/>
      <c r="X40" s="261"/>
      <c r="Y40" s="261"/>
      <c r="Z40" s="261"/>
      <c r="AA40" s="261"/>
      <c r="AB40" s="261"/>
      <c r="AC40" s="261"/>
      <c r="AD40" s="261"/>
      <c r="AE40" s="261"/>
      <c r="AF40" s="213" t="s">
        <v>459</v>
      </c>
      <c r="AG40" s="261"/>
      <c r="AH40" s="261"/>
      <c r="AI40" s="261"/>
      <c r="AJ40" s="261"/>
      <c r="AK40" s="261"/>
      <c r="AL40" s="261"/>
      <c r="AM40" s="261"/>
      <c r="AN40" s="261"/>
      <c r="AO40" s="213" t="s">
        <v>459</v>
      </c>
      <c r="AP40" s="2219"/>
      <c r="AQ40" s="2219"/>
      <c r="AR40" s="2219"/>
      <c r="AS40" s="2219"/>
      <c r="AT40" s="2219"/>
      <c r="AU40" s="2219"/>
      <c r="AV40" s="2219"/>
      <c r="AW40" s="2219"/>
      <c r="AX40" s="2256" t="s">
        <v>459</v>
      </c>
      <c r="BA40" s="302"/>
      <c r="BB40" s="302"/>
      <c r="BC40" s="302"/>
      <c r="BD40" s="302"/>
      <c r="BE40" s="302"/>
      <c r="BF40" s="352">
        <v>0</v>
      </c>
    </row>
    <row r="41" spans="1:58" ht="14.65" customHeight="1">
      <c r="R41" s="310"/>
      <c r="S41" s="310"/>
      <c r="T41" s="310"/>
      <c r="U41" s="1192"/>
      <c r="V41" s="297"/>
      <c r="W41" s="1161"/>
      <c r="X41" s="3193"/>
      <c r="Y41" s="3193"/>
      <c r="Z41" s="3193"/>
      <c r="AA41" s="3193"/>
      <c r="AB41" s="3193"/>
      <c r="AC41" s="3193"/>
      <c r="AD41" s="3193"/>
      <c r="AE41" s="3193"/>
      <c r="AF41" s="3193"/>
      <c r="AG41" s="3193"/>
      <c r="AH41" s="3193"/>
      <c r="AI41" s="3193"/>
      <c r="AJ41" s="3193"/>
      <c r="AK41" s="3193"/>
      <c r="AL41" s="3193"/>
      <c r="AM41" s="3193"/>
      <c r="AN41" s="3193"/>
      <c r="AO41" s="3193"/>
      <c r="AP41" s="3193" t="s">
        <v>105</v>
      </c>
      <c r="AQ41" s="3193"/>
      <c r="AR41" s="3193"/>
      <c r="AS41" s="3193"/>
      <c r="AT41" s="3193"/>
      <c r="AU41" s="3193"/>
      <c r="AV41" s="3193"/>
      <c r="AW41" s="3193"/>
      <c r="AX41" s="3193"/>
      <c r="BF41" s="1072">
        <v>14</v>
      </c>
    </row>
    <row r="42" spans="1:58" ht="14.65" customHeight="1">
      <c r="R42" s="310"/>
      <c r="S42" s="310"/>
      <c r="T42" s="310"/>
      <c r="U42" s="3067" t="s">
        <v>335</v>
      </c>
      <c r="V42" s="3067"/>
      <c r="W42" s="3067"/>
      <c r="X42" s="3067"/>
      <c r="Y42" s="3067"/>
      <c r="Z42" s="3067"/>
      <c r="AA42" s="3067"/>
      <c r="AB42" s="3067"/>
      <c r="AC42" s="3067"/>
      <c r="AD42" s="3067"/>
      <c r="AE42" s="3067"/>
      <c r="AF42" s="3067"/>
      <c r="AG42" s="3067"/>
      <c r="AH42" s="3067"/>
      <c r="AI42" s="3067"/>
      <c r="AJ42" s="3067"/>
      <c r="AK42" s="3067"/>
      <c r="AL42" s="3067"/>
      <c r="AM42" s="3067"/>
      <c r="AN42" s="3067"/>
      <c r="AO42" s="3067"/>
      <c r="AP42" s="3067" t="s">
        <v>335</v>
      </c>
      <c r="AQ42" s="3067"/>
      <c r="AR42" s="3067"/>
      <c r="AS42" s="3067"/>
      <c r="AT42" s="3067"/>
      <c r="AU42" s="3067"/>
      <c r="AV42" s="3067"/>
      <c r="AW42" s="3067"/>
      <c r="AX42" s="3067"/>
      <c r="AY42" s="3067"/>
      <c r="AZ42" s="3067"/>
      <c r="BF42" s="1072"/>
    </row>
    <row r="43" spans="1:58" ht="14.65" customHeight="1">
      <c r="R43" s="310"/>
      <c r="S43" s="310"/>
      <c r="T43" s="310"/>
      <c r="U43" s="3207" t="s">
        <v>89</v>
      </c>
      <c r="V43" s="3159" t="s">
        <v>460</v>
      </c>
      <c r="W43" s="236"/>
      <c r="X43" s="3208" t="s">
        <v>461</v>
      </c>
      <c r="Y43" s="3225"/>
      <c r="Z43" s="3225"/>
      <c r="AA43" s="3225"/>
      <c r="AB43" s="3225"/>
      <c r="AC43" s="3209"/>
      <c r="AD43" s="3209"/>
      <c r="AE43" s="3210"/>
      <c r="AF43" s="3211" t="s">
        <v>462</v>
      </c>
      <c r="AG43" s="3208" t="s">
        <v>461</v>
      </c>
      <c r="AH43" s="3225"/>
      <c r="AI43" s="3225"/>
      <c r="AJ43" s="3225"/>
      <c r="AK43" s="3225"/>
      <c r="AL43" s="3209"/>
      <c r="AM43" s="3209"/>
      <c r="AN43" s="3210"/>
      <c r="AO43" s="3211" t="s">
        <v>463</v>
      </c>
      <c r="AP43" s="3208" t="s">
        <v>461</v>
      </c>
      <c r="AQ43" s="3225"/>
      <c r="AR43" s="3225"/>
      <c r="AS43" s="3225"/>
      <c r="AT43" s="3225"/>
      <c r="AU43" s="3209"/>
      <c r="AV43" s="3209"/>
      <c r="AW43" s="3210"/>
      <c r="AX43" s="3211" t="s">
        <v>462</v>
      </c>
      <c r="AY43" s="3214" t="s">
        <v>464</v>
      </c>
      <c r="AZ43" s="3067"/>
      <c r="BF43" s="1072">
        <v>14</v>
      </c>
    </row>
    <row r="44" spans="1:58" ht="35.65" customHeight="1">
      <c r="R44" s="310"/>
      <c r="S44" s="310"/>
      <c r="T44" s="310"/>
      <c r="U44" s="3207"/>
      <c r="V44" s="3159"/>
      <c r="W44" s="952"/>
      <c r="X44" s="3145" t="s">
        <v>488</v>
      </c>
      <c r="Y44" s="3067" t="s">
        <v>489</v>
      </c>
      <c r="Z44" s="3067"/>
      <c r="AA44" s="3067"/>
      <c r="AB44" s="3067"/>
      <c r="AC44" s="3145" t="s">
        <v>468</v>
      </c>
      <c r="AD44" s="3239"/>
      <c r="AE44" s="3146"/>
      <c r="AF44" s="3212"/>
      <c r="AG44" s="3145" t="s">
        <v>488</v>
      </c>
      <c r="AH44" s="3067" t="s">
        <v>489</v>
      </c>
      <c r="AI44" s="3067"/>
      <c r="AJ44" s="3067"/>
      <c r="AK44" s="3067"/>
      <c r="AL44" s="3145" t="s">
        <v>468</v>
      </c>
      <c r="AM44" s="3239"/>
      <c r="AN44" s="3146"/>
      <c r="AO44" s="3212"/>
      <c r="AP44" s="3145" t="s">
        <v>488</v>
      </c>
      <c r="AQ44" s="3067" t="s">
        <v>489</v>
      </c>
      <c r="AR44" s="3067"/>
      <c r="AS44" s="3067"/>
      <c r="AT44" s="3067"/>
      <c r="AU44" s="3145" t="s">
        <v>468</v>
      </c>
      <c r="AV44" s="3239"/>
      <c r="AW44" s="3146"/>
      <c r="AX44" s="3212"/>
      <c r="AY44" s="3215"/>
      <c r="AZ44" s="3067"/>
      <c r="BF44" s="1072">
        <v>34</v>
      </c>
    </row>
    <row r="45" spans="1:58" ht="14.65" customHeight="1">
      <c r="R45" s="310"/>
      <c r="S45" s="310"/>
      <c r="T45" s="310"/>
      <c r="U45" s="3207"/>
      <c r="V45" s="3159"/>
      <c r="W45" s="952"/>
      <c r="X45" s="3147"/>
      <c r="Y45" s="3172" t="s">
        <v>490</v>
      </c>
      <c r="Z45" s="3167" t="s">
        <v>491</v>
      </c>
      <c r="AA45" s="3168"/>
      <c r="AB45" s="3169"/>
      <c r="AC45" s="3150"/>
      <c r="AD45" s="3240"/>
      <c r="AE45" s="3151"/>
      <c r="AF45" s="3212"/>
      <c r="AG45" s="3147"/>
      <c r="AH45" s="3172" t="s">
        <v>490</v>
      </c>
      <c r="AI45" s="3167" t="s">
        <v>491</v>
      </c>
      <c r="AJ45" s="3168"/>
      <c r="AK45" s="3169"/>
      <c r="AL45" s="3150"/>
      <c r="AM45" s="3240"/>
      <c r="AN45" s="3151"/>
      <c r="AO45" s="3212"/>
      <c r="AP45" s="3147"/>
      <c r="AQ45" s="3172" t="s">
        <v>490</v>
      </c>
      <c r="AR45" s="3167" t="s">
        <v>491</v>
      </c>
      <c r="AS45" s="3168"/>
      <c r="AT45" s="3169"/>
      <c r="AU45" s="3150"/>
      <c r="AV45" s="3240"/>
      <c r="AW45" s="3151"/>
      <c r="AX45" s="3212"/>
      <c r="AY45" s="3215"/>
      <c r="AZ45" s="3067"/>
      <c r="BF45" s="1072">
        <v>14</v>
      </c>
    </row>
    <row r="46" spans="1:58" ht="27.25" customHeight="1">
      <c r="R46" s="310"/>
      <c r="S46" s="310"/>
      <c r="T46" s="310"/>
      <c r="U46" s="3207"/>
      <c r="V46" s="3159"/>
      <c r="W46" s="952"/>
      <c r="X46" s="3147"/>
      <c r="Y46" s="3238"/>
      <c r="Z46" s="3172" t="s">
        <v>492</v>
      </c>
      <c r="AA46" s="3167" t="s">
        <v>493</v>
      </c>
      <c r="AB46" s="3169"/>
      <c r="AC46" s="3172" t="s">
        <v>478</v>
      </c>
      <c r="AD46" s="3174" t="s">
        <v>479</v>
      </c>
      <c r="AE46" s="3176"/>
      <c r="AF46" s="3212"/>
      <c r="AG46" s="3147"/>
      <c r="AH46" s="3238"/>
      <c r="AI46" s="3172" t="s">
        <v>492</v>
      </c>
      <c r="AJ46" s="3167" t="s">
        <v>493</v>
      </c>
      <c r="AK46" s="3169"/>
      <c r="AL46" s="3172" t="s">
        <v>478</v>
      </c>
      <c r="AM46" s="3174" t="s">
        <v>479</v>
      </c>
      <c r="AN46" s="3176"/>
      <c r="AO46" s="3212"/>
      <c r="AP46" s="3147"/>
      <c r="AQ46" s="3238"/>
      <c r="AR46" s="3172" t="s">
        <v>492</v>
      </c>
      <c r="AS46" s="3167" t="s">
        <v>493</v>
      </c>
      <c r="AT46" s="3169"/>
      <c r="AU46" s="3172" t="s">
        <v>478</v>
      </c>
      <c r="AV46" s="3174" t="s">
        <v>479</v>
      </c>
      <c r="AW46" s="3176"/>
      <c r="AX46" s="3212"/>
      <c r="AY46" s="3215"/>
      <c r="AZ46" s="3067"/>
      <c r="BF46" s="1072">
        <v>26</v>
      </c>
    </row>
    <row r="47" spans="1:58" ht="65.25" customHeight="1">
      <c r="A47" s="1176"/>
      <c r="B47" s="1176" t="s">
        <v>149</v>
      </c>
      <c r="C47" s="1176" t="s">
        <v>150</v>
      </c>
      <c r="D47" s="1176" t="s">
        <v>151</v>
      </c>
      <c r="E47" s="1227" t="s">
        <v>469</v>
      </c>
      <c r="F47" s="1227" t="s">
        <v>470</v>
      </c>
      <c r="G47" s="1227" t="s">
        <v>471</v>
      </c>
      <c r="H47" s="1227" t="s">
        <v>472</v>
      </c>
      <c r="I47" s="1227" t="s">
        <v>473</v>
      </c>
      <c r="J47" s="1227" t="s">
        <v>474</v>
      </c>
      <c r="K47" s="1227" t="s">
        <v>475</v>
      </c>
      <c r="L47" s="1227" t="s">
        <v>494</v>
      </c>
      <c r="M47" s="1227" t="s">
        <v>450</v>
      </c>
      <c r="R47" s="310"/>
      <c r="S47" s="310"/>
      <c r="T47" s="310"/>
      <c r="U47" s="3207"/>
      <c r="V47" s="3159"/>
      <c r="W47" s="237"/>
      <c r="X47" s="3150"/>
      <c r="Y47" s="3173"/>
      <c r="Z47" s="3173"/>
      <c r="AA47" s="1139" t="s">
        <v>495</v>
      </c>
      <c r="AB47" s="1139" t="s">
        <v>496</v>
      </c>
      <c r="AC47" s="3173"/>
      <c r="AD47" s="3175"/>
      <c r="AE47" s="3177"/>
      <c r="AF47" s="3213"/>
      <c r="AG47" s="3150"/>
      <c r="AH47" s="3173"/>
      <c r="AI47" s="3173"/>
      <c r="AJ47" s="1139" t="s">
        <v>495</v>
      </c>
      <c r="AK47" s="1139" t="s">
        <v>496</v>
      </c>
      <c r="AL47" s="3173"/>
      <c r="AM47" s="3175"/>
      <c r="AN47" s="3177"/>
      <c r="AO47" s="3213"/>
      <c r="AP47" s="3150"/>
      <c r="AQ47" s="3173"/>
      <c r="AR47" s="3173"/>
      <c r="AS47" s="2257" t="s">
        <v>495</v>
      </c>
      <c r="AT47" s="2257" t="s">
        <v>496</v>
      </c>
      <c r="AU47" s="3173"/>
      <c r="AV47" s="3175"/>
      <c r="AW47" s="3177"/>
      <c r="AX47" s="3213"/>
      <c r="AY47" s="3216"/>
      <c r="AZ47" s="3067"/>
      <c r="BF47" s="1072">
        <v>62</v>
      </c>
    </row>
    <row r="48" spans="1:58" s="2212" customFormat="1" ht="11.25" hidden="1" customHeight="1">
      <c r="A48" s="1176"/>
      <c r="B48" s="1176"/>
      <c r="C48" s="1176"/>
      <c r="D48" s="1176"/>
      <c r="E48" s="1176"/>
      <c r="F48" s="1176"/>
      <c r="G48" s="1176"/>
      <c r="H48" s="1176"/>
      <c r="I48" s="1176"/>
      <c r="J48" s="1176"/>
      <c r="K48" s="1176"/>
      <c r="L48" s="1176"/>
      <c r="M48" s="1227"/>
      <c r="N48" s="1245"/>
      <c r="O48" s="1245"/>
      <c r="P48" s="1245"/>
      <c r="Q48" s="1163"/>
      <c r="R48" s="1164"/>
      <c r="S48" s="1171">
        <v>1</v>
      </c>
      <c r="T48" s="1171"/>
      <c r="U48" s="1194" t="s">
        <v>124</v>
      </c>
      <c r="V48" s="1172" t="s">
        <v>104</v>
      </c>
      <c r="W48" s="1162" t="str">
        <f ca="1">OFFSET(W48,0,-1)</f>
        <v>2</v>
      </c>
      <c r="X48" s="1252">
        <f ca="1">OFFSET(X48,0,-1)+1</f>
        <v>3</v>
      </c>
      <c r="Y48" s="1258"/>
      <c r="Z48" s="1258"/>
      <c r="AA48" s="1258">
        <f ca="1">OFFSET(AA48,0,-1)+1</f>
        <v>1</v>
      </c>
      <c r="AB48" s="1258">
        <f ca="1">OFFSET(AB48,0,-1)+1</f>
        <v>2</v>
      </c>
      <c r="AC48" s="1252">
        <f ca="1">OFFSET(AC48,0,-1)+1</f>
        <v>3</v>
      </c>
      <c r="AD48" s="3206">
        <f ca="1">OFFSET(AD48,0,-1)+1</f>
        <v>4</v>
      </c>
      <c r="AE48" s="3206"/>
      <c r="AF48" s="1252">
        <f ca="1">OFFSET(AF48,0,-2)+1</f>
        <v>5</v>
      </c>
      <c r="AG48" s="1252">
        <f ca="1">OFFSET(AG48,0,-1)+1</f>
        <v>6</v>
      </c>
      <c r="AH48" s="1252"/>
      <c r="AI48" s="1252"/>
      <c r="AJ48" s="1252">
        <f ca="1">OFFSET(AJ48,0,-1)+1</f>
        <v>1</v>
      </c>
      <c r="AK48" s="1252">
        <f ca="1">OFFSET(AK48,0,-1)+1</f>
        <v>2</v>
      </c>
      <c r="AL48" s="1252">
        <f ca="1">OFFSET(AL48,0,-1)+1</f>
        <v>3</v>
      </c>
      <c r="AM48" s="3206">
        <f ca="1">OFFSET(AM48,0,-1)+1</f>
        <v>4</v>
      </c>
      <c r="AN48" s="3206"/>
      <c r="AO48" s="1252">
        <f ca="1">OFFSET(AO48,0,-2)+1</f>
        <v>5</v>
      </c>
      <c r="AP48" s="2258">
        <f ca="1">OFFSET(AP48,0,-1)+1</f>
        <v>6</v>
      </c>
      <c r="AQ48" s="2753"/>
      <c r="AR48" s="2753"/>
      <c r="AS48" s="2753">
        <f ca="1">OFFSET(AS48,0,-1)+1</f>
        <v>1</v>
      </c>
      <c r="AT48" s="2753">
        <f ca="1">OFFSET(AT48,0,-1)+1</f>
        <v>2</v>
      </c>
      <c r="AU48" s="2258">
        <f ca="1">OFFSET(AU48,0,-1)+1</f>
        <v>3</v>
      </c>
      <c r="AV48" s="3206">
        <f ca="1">OFFSET(AV48,0,-1)+1</f>
        <v>4</v>
      </c>
      <c r="AW48" s="3206"/>
      <c r="AX48" s="2258">
        <f ca="1">OFFSET(AX48,0,-2)+1</f>
        <v>5</v>
      </c>
      <c r="AY48" s="1162">
        <f ca="1">OFFSET(AY48,0,-1)</f>
        <v>5</v>
      </c>
      <c r="AZ48" s="1252">
        <f ca="1">OFFSET(AZ48,0,-1)+1</f>
        <v>6</v>
      </c>
      <c r="BA48" s="445"/>
      <c r="BB48" s="445"/>
      <c r="BC48" s="445"/>
      <c r="BD48" s="445"/>
      <c r="BE48" s="445"/>
      <c r="BF48" s="430">
        <v>0</v>
      </c>
    </row>
    <row r="49" spans="1:58" ht="22" customHeight="1">
      <c r="A49" s="1184" t="s">
        <v>204</v>
      </c>
      <c r="B49" s="1184"/>
      <c r="C49" s="1184"/>
      <c r="D49" s="1184"/>
      <c r="E49" s="3223">
        <v>1</v>
      </c>
      <c r="F49" s="1184"/>
      <c r="G49" s="1184"/>
      <c r="H49" s="1184"/>
      <c r="I49" s="1184"/>
      <c r="J49" s="1184"/>
      <c r="K49" s="1184"/>
      <c r="L49" s="1184"/>
      <c r="M49" s="1227"/>
      <c r="N49" s="622"/>
      <c r="O49" s="622"/>
      <c r="P49" s="622"/>
      <c r="Q49" s="295"/>
      <c r="R49" s="294"/>
      <c r="S49" s="294"/>
      <c r="T49" s="289"/>
      <c r="U49" s="1253">
        <f>INDEX(PT_DIFFERENTIATION_NUM_NTAR,MATCH(A49,PT_DIFFERENTIATION_NTAR_ID,0))</f>
        <v>1</v>
      </c>
      <c r="V49" s="233" t="s">
        <v>137</v>
      </c>
      <c r="W49" s="235"/>
      <c r="X49" s="3185"/>
      <c r="Y49" s="3186"/>
      <c r="Z49" s="3186"/>
      <c r="AA49" s="3186"/>
      <c r="AB49" s="3186"/>
      <c r="AC49" s="3186"/>
      <c r="AD49" s="3186"/>
      <c r="AE49" s="3186"/>
      <c r="AF49" s="3187"/>
      <c r="AG49" s="3185" t="str">
        <f>INDEX(PT_DIFFERENTIATION_NTAR,MATCH(A49,PT_DIFFERENTIATION_NTAR_ID,0))</f>
        <v/>
      </c>
      <c r="AH49" s="3186"/>
      <c r="AI49" s="3186"/>
      <c r="AJ49" s="3186"/>
      <c r="AK49" s="3186"/>
      <c r="AL49" s="3186"/>
      <c r="AM49" s="3186"/>
      <c r="AN49" s="3186"/>
      <c r="AO49" s="3186"/>
      <c r="AP49" s="3185"/>
      <c r="AQ49" s="3186"/>
      <c r="AR49" s="3186"/>
      <c r="AS49" s="3186"/>
      <c r="AT49" s="3186"/>
      <c r="AU49" s="3186"/>
      <c r="AV49" s="3186"/>
      <c r="AW49" s="3186"/>
      <c r="AX49" s="3187"/>
      <c r="AY49" s="3187"/>
      <c r="AZ49" s="117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BB49" s="434"/>
      <c r="BC49" s="434" t="str">
        <f t="shared" ref="BC49:BC69" si="2">IF(V49="","",V49)</f>
        <v>Наименование тарифа</v>
      </c>
      <c r="BD49" s="434"/>
      <c r="BE49" s="434"/>
      <c r="BF49" s="1072">
        <v>21</v>
      </c>
    </row>
    <row r="50" spans="1:58" ht="22" customHeight="1">
      <c r="A50" s="1184" t="s">
        <v>204</v>
      </c>
      <c r="B50" s="1184" t="s">
        <v>205</v>
      </c>
      <c r="C50" s="1184"/>
      <c r="D50" s="1184"/>
      <c r="E50" s="3224"/>
      <c r="F50" s="3223">
        <v>1</v>
      </c>
      <c r="G50" s="1184"/>
      <c r="H50" s="1184"/>
      <c r="I50" s="1184"/>
      <c r="J50" s="1184"/>
      <c r="K50" s="1184"/>
      <c r="L50" s="1184"/>
      <c r="M50" s="1227"/>
      <c r="N50" s="622"/>
      <c r="O50" s="622"/>
      <c r="P50" s="622"/>
      <c r="Q50" s="1249"/>
      <c r="R50" s="286"/>
      <c r="S50" s="443"/>
      <c r="T50" s="287"/>
      <c r="U50" s="1253" t="str">
        <f>INDEX(PT_DIFFERENTIATION_NUM_TER,MATCH(B50,PT_DIFFERENTIATION_TER_ID,0))</f>
        <v>1.1</v>
      </c>
      <c r="V50" s="243" t="s">
        <v>432</v>
      </c>
      <c r="W50" s="235"/>
      <c r="X50" s="3185"/>
      <c r="Y50" s="3186"/>
      <c r="Z50" s="3186"/>
      <c r="AA50" s="3186"/>
      <c r="AB50" s="3186"/>
      <c r="AC50" s="3186"/>
      <c r="AD50" s="3186"/>
      <c r="AE50" s="3186"/>
      <c r="AF50" s="3187"/>
      <c r="AG50" s="3185" t="str">
        <f>INDEX(PT_DIFFERENTIATION_TER,MATCH(B50,PT_DIFFERENTIATION_TER_ID,0))</f>
        <v>Территория 1</v>
      </c>
      <c r="AH50" s="3186"/>
      <c r="AI50" s="3186"/>
      <c r="AJ50" s="3186"/>
      <c r="AK50" s="3186"/>
      <c r="AL50" s="3186"/>
      <c r="AM50" s="3186"/>
      <c r="AN50" s="3186"/>
      <c r="AO50" s="3186"/>
      <c r="AP50" s="3185"/>
      <c r="AQ50" s="3186"/>
      <c r="AR50" s="3186"/>
      <c r="AS50" s="3186"/>
      <c r="AT50" s="3186"/>
      <c r="AU50" s="3186"/>
      <c r="AV50" s="3186"/>
      <c r="AW50" s="3186"/>
      <c r="AX50" s="3187"/>
      <c r="AY50" s="3187"/>
      <c r="AZ50" s="1175" t="s">
        <v>433</v>
      </c>
      <c r="BB50" s="434"/>
      <c r="BC50" s="434" t="str">
        <f t="shared" si="2"/>
        <v>Территория действия тарифа</v>
      </c>
      <c r="BD50" s="434"/>
      <c r="BE50" s="434"/>
      <c r="BF50" s="1072">
        <v>21</v>
      </c>
    </row>
    <row r="51" spans="1:58" ht="24" customHeight="1">
      <c r="A51" s="1184" t="s">
        <v>204</v>
      </c>
      <c r="B51" s="1184" t="s">
        <v>205</v>
      </c>
      <c r="C51" s="1184" t="s">
        <v>206</v>
      </c>
      <c r="D51" s="1184"/>
      <c r="E51" s="3224"/>
      <c r="F51" s="3224"/>
      <c r="G51" s="3223">
        <v>1</v>
      </c>
      <c r="H51" s="1184"/>
      <c r="I51" s="1184"/>
      <c r="J51" s="1184"/>
      <c r="K51" s="1184"/>
      <c r="L51" s="1184"/>
      <c r="M51" s="1227"/>
      <c r="N51" s="622"/>
      <c r="O51" s="622"/>
      <c r="P51" s="622"/>
      <c r="Q51" s="288"/>
      <c r="R51" s="286"/>
      <c r="S51" s="443"/>
      <c r="T51" s="287"/>
      <c r="U51" s="1253" t="str">
        <f>INDEX(PT_DIFFERENTIATION_NUM_CS,MATCH(C51,PT_DIFFERENTIATION_CS_ID,0))</f>
        <v>1.1.1</v>
      </c>
      <c r="V51" s="244" t="s">
        <v>434</v>
      </c>
      <c r="W51" s="235"/>
      <c r="X51" s="3185"/>
      <c r="Y51" s="3186"/>
      <c r="Z51" s="3186"/>
      <c r="AA51" s="3186"/>
      <c r="AB51" s="3186"/>
      <c r="AC51" s="3186"/>
      <c r="AD51" s="3186"/>
      <c r="AE51" s="3186"/>
      <c r="AF51" s="3187"/>
      <c r="AG51" s="3185" t="str">
        <f>INDEX(PT_DIFFERENTIATION_CS,MATCH(C51,PT_DIFFERENTIATION_CS_ID,0))</f>
        <v>без дифференциации</v>
      </c>
      <c r="AH51" s="3186"/>
      <c r="AI51" s="3186"/>
      <c r="AJ51" s="3186"/>
      <c r="AK51" s="3186"/>
      <c r="AL51" s="3186"/>
      <c r="AM51" s="3186"/>
      <c r="AN51" s="3186"/>
      <c r="AO51" s="3186"/>
      <c r="AP51" s="3185"/>
      <c r="AQ51" s="3186"/>
      <c r="AR51" s="3186"/>
      <c r="AS51" s="3186"/>
      <c r="AT51" s="3186"/>
      <c r="AU51" s="3186"/>
      <c r="AV51" s="3186"/>
      <c r="AW51" s="3186"/>
      <c r="AX51" s="3187"/>
      <c r="AY51" s="3187"/>
      <c r="AZ51" s="1175" t="s">
        <v>435</v>
      </c>
      <c r="BB51" s="434"/>
      <c r="BC51" s="434" t="str">
        <f t="shared" si="2"/>
        <v xml:space="preserve">Наименование системы теплоснабжения </v>
      </c>
      <c r="BD51" s="434"/>
      <c r="BE51" s="434"/>
      <c r="BF51" s="1072">
        <v>23</v>
      </c>
    </row>
    <row r="52" spans="1:58" ht="22" customHeight="1">
      <c r="A52" s="1184" t="s">
        <v>204</v>
      </c>
      <c r="B52" s="1184" t="s">
        <v>205</v>
      </c>
      <c r="C52" s="1184" t="s">
        <v>206</v>
      </c>
      <c r="D52" s="1184" t="s">
        <v>207</v>
      </c>
      <c r="E52" s="3224"/>
      <c r="F52" s="3224"/>
      <c r="G52" s="3224"/>
      <c r="H52" s="3223">
        <v>1</v>
      </c>
      <c r="I52" s="1184"/>
      <c r="J52" s="1184"/>
      <c r="K52" s="1184"/>
      <c r="L52" s="1184"/>
      <c r="M52" s="1227"/>
      <c r="N52" s="622"/>
      <c r="O52" s="622"/>
      <c r="P52" s="622"/>
      <c r="Q52" s="288"/>
      <c r="R52" s="286"/>
      <c r="S52" s="443"/>
      <c r="T52" s="287"/>
      <c r="U52" s="1253" t="str">
        <f>INDEX(PT_DIFFERENTIATION_NUM_IST_TE,MATCH(D52,PT_DIFFERENTIATION_IST_TE_ID,0))</f>
        <v>1.1.1.1</v>
      </c>
      <c r="V52" s="245" t="s">
        <v>436</v>
      </c>
      <c r="W52" s="235"/>
      <c r="X52" s="3185"/>
      <c r="Y52" s="3186"/>
      <c r="Z52" s="3186"/>
      <c r="AA52" s="3186"/>
      <c r="AB52" s="3186"/>
      <c r="AC52" s="3186"/>
      <c r="AD52" s="3186"/>
      <c r="AE52" s="3186"/>
      <c r="AF52" s="3187"/>
      <c r="AG52" s="3185" t="str">
        <f>INDEX(PT_DIFFERENTIATION_IST_TE,MATCH(D52,PT_DIFFERENTIATION_IST_TE_ID,0))</f>
        <v>без дифференциации</v>
      </c>
      <c r="AH52" s="3186"/>
      <c r="AI52" s="3186"/>
      <c r="AJ52" s="3186"/>
      <c r="AK52" s="3186"/>
      <c r="AL52" s="3186"/>
      <c r="AM52" s="3186"/>
      <c r="AN52" s="3186"/>
      <c r="AO52" s="3186"/>
      <c r="AP52" s="3185"/>
      <c r="AQ52" s="3186"/>
      <c r="AR52" s="3186"/>
      <c r="AS52" s="3186"/>
      <c r="AT52" s="3186"/>
      <c r="AU52" s="3186"/>
      <c r="AV52" s="3186"/>
      <c r="AW52" s="3186"/>
      <c r="AX52" s="3187"/>
      <c r="AY52" s="3187"/>
      <c r="AZ52" s="1175" t="s">
        <v>437</v>
      </c>
      <c r="BB52" s="434"/>
      <c r="BC52" s="434" t="str">
        <f t="shared" si="2"/>
        <v xml:space="preserve">Источник тепловой энергии  </v>
      </c>
      <c r="BD52" s="434"/>
      <c r="BE52" s="434"/>
      <c r="BF52" s="1072">
        <v>21</v>
      </c>
    </row>
    <row r="53" spans="1:58" s="2017" customFormat="1" ht="0" hidden="1" customHeight="1">
      <c r="A53" s="1292" t="s">
        <v>204</v>
      </c>
      <c r="B53" s="1292" t="s">
        <v>205</v>
      </c>
      <c r="C53" s="1292" t="s">
        <v>206</v>
      </c>
      <c r="D53" s="1292" t="s">
        <v>207</v>
      </c>
      <c r="E53" s="3224"/>
      <c r="F53" s="3224"/>
      <c r="G53" s="3224"/>
      <c r="H53" s="3224"/>
      <c r="I53" s="3067" t="str">
        <f>U52&amp;".1"</f>
        <v>1.1.1.1.1</v>
      </c>
      <c r="J53" s="1292"/>
      <c r="K53" s="1292"/>
      <c r="L53" s="1292"/>
      <c r="M53" s="1298" t="s">
        <v>438</v>
      </c>
      <c r="N53" s="1163"/>
      <c r="O53" s="1163"/>
      <c r="P53" s="1163"/>
      <c r="Q53" s="3198">
        <v>1</v>
      </c>
      <c r="R53" s="1248"/>
      <c r="S53" s="1248"/>
      <c r="T53" s="290"/>
      <c r="U53" s="963"/>
      <c r="V53" s="1300"/>
      <c r="W53" s="1301"/>
      <c r="X53" s="3228"/>
      <c r="Y53" s="3229"/>
      <c r="Z53" s="3229"/>
      <c r="AA53" s="3229"/>
      <c r="AB53" s="3229"/>
      <c r="AC53" s="3229"/>
      <c r="AD53" s="3229"/>
      <c r="AE53" s="3229"/>
      <c r="AF53" s="3230"/>
      <c r="AG53" s="3228"/>
      <c r="AH53" s="3229"/>
      <c r="AI53" s="3229"/>
      <c r="AJ53" s="3229"/>
      <c r="AK53" s="3229"/>
      <c r="AL53" s="3229"/>
      <c r="AM53" s="3229"/>
      <c r="AN53" s="3229"/>
      <c r="AO53" s="3229"/>
      <c r="AP53" s="3228"/>
      <c r="AQ53" s="3229"/>
      <c r="AR53" s="3229"/>
      <c r="AS53" s="3229"/>
      <c r="AT53" s="3229"/>
      <c r="AU53" s="3229"/>
      <c r="AV53" s="3229"/>
      <c r="AW53" s="3229"/>
      <c r="AX53" s="3230"/>
      <c r="AY53" s="3230"/>
      <c r="AZ53" s="1302"/>
      <c r="BB53" s="434"/>
      <c r="BC53" s="434" t="str">
        <f t="shared" si="2"/>
        <v/>
      </c>
      <c r="BD53" s="434"/>
      <c r="BE53" s="434"/>
      <c r="BF53" s="445">
        <v>0</v>
      </c>
    </row>
    <row r="54" spans="1:58" ht="22" customHeight="1">
      <c r="A54" s="1184" t="s">
        <v>204</v>
      </c>
      <c r="B54" s="1184" t="s">
        <v>205</v>
      </c>
      <c r="C54" s="1184" t="s">
        <v>206</v>
      </c>
      <c r="D54" s="1184" t="s">
        <v>207</v>
      </c>
      <c r="E54" s="3224"/>
      <c r="F54" s="3224"/>
      <c r="G54" s="3224"/>
      <c r="H54" s="3224"/>
      <c r="I54" s="3038"/>
      <c r="J54" s="3067" t="str">
        <f>I53&amp;".1"</f>
        <v>1.1.1.1.1.1</v>
      </c>
      <c r="K54" s="1184"/>
      <c r="L54" s="1184"/>
      <c r="M54" s="1227" t="s">
        <v>441</v>
      </c>
      <c r="Q54" s="3198"/>
      <c r="R54" s="3198">
        <v>1</v>
      </c>
      <c r="S54" s="452"/>
      <c r="T54" s="291"/>
      <c r="U54" s="1253" t="str">
        <f>$J54</f>
        <v>1.1.1.1.1.1</v>
      </c>
      <c r="V54" s="221" t="s">
        <v>442</v>
      </c>
      <c r="W54" s="235"/>
      <c r="X54" s="3188"/>
      <c r="Y54" s="3189"/>
      <c r="Z54" s="3189"/>
      <c r="AA54" s="3189"/>
      <c r="AB54" s="3189"/>
      <c r="AC54" s="3181"/>
      <c r="AD54" s="3181"/>
      <c r="AE54" s="3181"/>
      <c r="AF54" s="3241"/>
      <c r="AG54" s="3188" t="s">
        <v>481</v>
      </c>
      <c r="AH54" s="3189"/>
      <c r="AI54" s="3189"/>
      <c r="AJ54" s="3189"/>
      <c r="AK54" s="3189"/>
      <c r="AL54" s="3189"/>
      <c r="AM54" s="3189"/>
      <c r="AN54" s="3189"/>
      <c r="AO54" s="3189"/>
      <c r="AP54" s="3188"/>
      <c r="AQ54" s="3189"/>
      <c r="AR54" s="3189"/>
      <c r="AS54" s="3189"/>
      <c r="AT54" s="3189"/>
      <c r="AU54" s="3181"/>
      <c r="AV54" s="3181"/>
      <c r="AW54" s="3181"/>
      <c r="AX54" s="3241"/>
      <c r="AY54" s="3190"/>
      <c r="AZ54" s="1175" t="s">
        <v>443</v>
      </c>
      <c r="BB54" s="434"/>
      <c r="BC54" s="434" t="str">
        <f t="shared" si="2"/>
        <v>Группа потребителей</v>
      </c>
      <c r="BD54" s="434"/>
      <c r="BE54" s="434"/>
      <c r="BF54" s="1072">
        <v>21</v>
      </c>
    </row>
    <row r="55" spans="1:58" ht="22" customHeight="1">
      <c r="A55" s="1184" t="s">
        <v>204</v>
      </c>
      <c r="B55" s="1184" t="s">
        <v>205</v>
      </c>
      <c r="C55" s="1184" t="s">
        <v>206</v>
      </c>
      <c r="D55" s="1184" t="s">
        <v>207</v>
      </c>
      <c r="E55" s="3224"/>
      <c r="F55" s="3224"/>
      <c r="G55" s="3224"/>
      <c r="H55" s="3224"/>
      <c r="I55" s="3038"/>
      <c r="J55" s="3038"/>
      <c r="K55" s="3067" t="str">
        <f>J54&amp;".1"</f>
        <v>1.1.1.1.1.1.1</v>
      </c>
      <c r="L55" s="76"/>
      <c r="M55" s="1227" t="s">
        <v>444</v>
      </c>
      <c r="Q55" s="3198"/>
      <c r="R55" s="3198"/>
      <c r="S55" s="452">
        <v>1</v>
      </c>
      <c r="T55" s="291"/>
      <c r="U55" s="1253" t="str">
        <f>$K55</f>
        <v>1.1.1.1.1.1.1</v>
      </c>
      <c r="V55" s="1264" t="s">
        <v>482</v>
      </c>
      <c r="W55" s="235"/>
      <c r="X55" s="685"/>
      <c r="Y55" s="685"/>
      <c r="Z55" s="685"/>
      <c r="AA55" s="685"/>
      <c r="AB55" s="1322"/>
      <c r="AC55" s="3202"/>
      <c r="AD55" s="3048" t="s">
        <v>67</v>
      </c>
      <c r="AE55" s="3202"/>
      <c r="AF55" s="3048" t="s">
        <v>67</v>
      </c>
      <c r="AG55" s="1324"/>
      <c r="AH55" s="685">
        <v>254.05</v>
      </c>
      <c r="AI55" s="685">
        <v>22537.37</v>
      </c>
      <c r="AJ55" s="685"/>
      <c r="AK55" s="1174"/>
      <c r="AL55" s="3202">
        <v>45658</v>
      </c>
      <c r="AM55" s="3048" t="s">
        <v>67</v>
      </c>
      <c r="AN55" s="3202">
        <v>45838</v>
      </c>
      <c r="AO55" s="3048" t="s">
        <v>67</v>
      </c>
      <c r="AP55" s="2220"/>
      <c r="AQ55" s="2220">
        <v>266.5</v>
      </c>
      <c r="AR55" s="2220">
        <v>22537.37</v>
      </c>
      <c r="AS55" s="2220"/>
      <c r="AT55" s="2728"/>
      <c r="AU55" s="3202">
        <v>45839</v>
      </c>
      <c r="AV55" s="3048" t="s">
        <v>67</v>
      </c>
      <c r="AW55" s="3202">
        <v>46022</v>
      </c>
      <c r="AX55" s="3048" t="s">
        <v>67</v>
      </c>
      <c r="AY55" s="1265"/>
      <c r="AZ55" s="1224" t="s">
        <v>485</v>
      </c>
      <c r="BA55" s="445" t="e">
        <f ca="1">STRCHECKDATE(X57:AY57)</f>
        <v>#NAME?</v>
      </c>
      <c r="BB55" s="434"/>
      <c r="BC55" s="434" t="str">
        <f t="shared" si="2"/>
        <v>вода</v>
      </c>
      <c r="BD55" s="434"/>
      <c r="BE55" s="434"/>
      <c r="BF55" s="1072">
        <v>21</v>
      </c>
    </row>
    <row r="56" spans="1:58" ht="11.5" customHeight="1">
      <c r="A56" s="1184" t="s">
        <v>204</v>
      </c>
      <c r="B56" s="1184" t="s">
        <v>205</v>
      </c>
      <c r="C56" s="1184" t="s">
        <v>206</v>
      </c>
      <c r="D56" s="1184" t="s">
        <v>207</v>
      </c>
      <c r="E56" s="3224"/>
      <c r="F56" s="3224"/>
      <c r="G56" s="3224"/>
      <c r="H56" s="3224"/>
      <c r="I56" s="3038"/>
      <c r="J56" s="3038"/>
      <c r="K56" s="3038"/>
      <c r="L56" s="3067" t="str">
        <f>K55&amp;".1"</f>
        <v>1.1.1.1.1.1.1.1</v>
      </c>
      <c r="M56" s="1227"/>
      <c r="Q56" s="3198"/>
      <c r="R56" s="3198"/>
      <c r="S56" s="452">
        <v>1</v>
      </c>
      <c r="T56" s="291"/>
      <c r="U56" s="1253" t="str">
        <f>$L56</f>
        <v>1.1.1.1.1.1.1.1</v>
      </c>
      <c r="V56" s="1308"/>
      <c r="W56" s="235"/>
      <c r="X56" s="260"/>
      <c r="Y56" s="685"/>
      <c r="Z56" s="685"/>
      <c r="AA56" s="685"/>
      <c r="AB56" s="1322"/>
      <c r="AC56" s="3203"/>
      <c r="AD56" s="3048"/>
      <c r="AE56" s="3203"/>
      <c r="AF56" s="3048"/>
      <c r="AG56" s="1324"/>
      <c r="AH56" s="685"/>
      <c r="AI56" s="685"/>
      <c r="AJ56" s="685"/>
      <c r="AK56" s="1174"/>
      <c r="AL56" s="3203"/>
      <c r="AM56" s="3048"/>
      <c r="AN56" s="3203"/>
      <c r="AO56" s="3048"/>
      <c r="AP56" s="2221"/>
      <c r="AQ56" s="2220"/>
      <c r="AR56" s="2220"/>
      <c r="AS56" s="2220"/>
      <c r="AT56" s="2728"/>
      <c r="AU56" s="3203"/>
      <c r="AV56" s="3048"/>
      <c r="AW56" s="3203"/>
      <c r="AX56" s="3048"/>
      <c r="AY56" s="1265"/>
      <c r="AZ56" s="3194" t="s">
        <v>486</v>
      </c>
      <c r="BA56" s="445" t="e">
        <f ca="1">STRCHECKDATE(X58:AY58)</f>
        <v>#NAME?</v>
      </c>
      <c r="BB56" s="434"/>
      <c r="BC56" s="434" t="str">
        <f t="shared" si="2"/>
        <v/>
      </c>
      <c r="BD56" s="434"/>
      <c r="BE56" s="434"/>
      <c r="BF56" s="1072">
        <v>11</v>
      </c>
    </row>
    <row r="57" spans="1:58" ht="0" hidden="1" customHeight="1">
      <c r="A57" s="1184" t="s">
        <v>204</v>
      </c>
      <c r="B57" s="1184" t="s">
        <v>205</v>
      </c>
      <c r="C57" s="1184" t="s">
        <v>206</v>
      </c>
      <c r="D57" s="1184" t="s">
        <v>207</v>
      </c>
      <c r="E57" s="3224"/>
      <c r="F57" s="3224"/>
      <c r="G57" s="3224"/>
      <c r="H57" s="3224"/>
      <c r="I57" s="3038"/>
      <c r="J57" s="3038"/>
      <c r="K57" s="3038"/>
      <c r="L57" s="3067"/>
      <c r="M57" s="1227"/>
      <c r="Q57" s="3198"/>
      <c r="R57" s="3198"/>
      <c r="S57" s="452"/>
      <c r="T57" s="291"/>
      <c r="U57" s="1259"/>
      <c r="V57" s="235"/>
      <c r="W57" s="235"/>
      <c r="X57" s="260"/>
      <c r="Y57" s="260"/>
      <c r="Z57" s="260"/>
      <c r="AA57" s="260"/>
      <c r="AB57" s="1323" t="str">
        <f>AC55&amp;"-"&amp;AE55</f>
        <v>-</v>
      </c>
      <c r="AC57" s="3203"/>
      <c r="AD57" s="3048"/>
      <c r="AE57" s="3203"/>
      <c r="AF57" s="3048"/>
      <c r="AG57" s="1299"/>
      <c r="AH57" s="260"/>
      <c r="AI57" s="260"/>
      <c r="AJ57" s="260"/>
      <c r="AK57" s="263" t="str">
        <f>AL55&amp;"-"&amp;AN55</f>
        <v>45658-45838</v>
      </c>
      <c r="AL57" s="3203"/>
      <c r="AM57" s="3048"/>
      <c r="AN57" s="3203"/>
      <c r="AO57" s="3048"/>
      <c r="AP57" s="2221"/>
      <c r="AQ57" s="2221"/>
      <c r="AR57" s="2221"/>
      <c r="AS57" s="2221"/>
      <c r="AT57" s="2729" t="str">
        <f>AU55&amp;"-"&amp;AW55</f>
        <v>45839-46022</v>
      </c>
      <c r="AU57" s="3203"/>
      <c r="AV57" s="3048"/>
      <c r="AW57" s="3203"/>
      <c r="AX57" s="3048"/>
      <c r="AY57" s="1266"/>
      <c r="AZ57" s="3195"/>
      <c r="BB57" s="434"/>
      <c r="BC57" s="434" t="str">
        <f t="shared" si="2"/>
        <v/>
      </c>
      <c r="BD57" s="434"/>
      <c r="BE57" s="434"/>
      <c r="BF57" s="1072">
        <v>0</v>
      </c>
    </row>
    <row r="58" spans="1:58" ht="11.5" customHeight="1">
      <c r="A58" s="1184" t="s">
        <v>204</v>
      </c>
      <c r="B58" s="1184" t="s">
        <v>205</v>
      </c>
      <c r="C58" s="1184" t="s">
        <v>206</v>
      </c>
      <c r="D58" s="1184" t="s">
        <v>207</v>
      </c>
      <c r="E58" s="3224"/>
      <c r="F58" s="3224"/>
      <c r="G58" s="3224"/>
      <c r="H58" s="3224"/>
      <c r="I58" s="3038"/>
      <c r="J58" s="3038"/>
      <c r="K58" s="3067"/>
      <c r="L58" s="1184"/>
      <c r="M58" s="1227"/>
      <c r="Q58" s="3198"/>
      <c r="R58" s="3198"/>
      <c r="S58" s="1248"/>
      <c r="T58" s="290"/>
      <c r="U58" s="1195"/>
      <c r="V58" s="223" t="s">
        <v>487</v>
      </c>
      <c r="W58" s="301"/>
      <c r="X58" s="301"/>
      <c r="Y58" s="301"/>
      <c r="Z58" s="301"/>
      <c r="AA58" s="301"/>
      <c r="AB58" s="301"/>
      <c r="AC58" s="3203"/>
      <c r="AD58" s="3048"/>
      <c r="AE58" s="3203"/>
      <c r="AF58" s="3048"/>
      <c r="AG58" s="301"/>
      <c r="AH58" s="301"/>
      <c r="AI58" s="301"/>
      <c r="AJ58" s="301"/>
      <c r="AK58" s="301"/>
      <c r="AL58" s="3203"/>
      <c r="AM58" s="3048"/>
      <c r="AN58" s="3203"/>
      <c r="AO58" s="3048"/>
      <c r="AP58" s="2754"/>
      <c r="AQ58" s="2755"/>
      <c r="AR58" s="2756"/>
      <c r="AS58" s="2757"/>
      <c r="AT58" s="2758"/>
      <c r="AU58" s="3203"/>
      <c r="AV58" s="3048"/>
      <c r="AW58" s="3203"/>
      <c r="AX58" s="3048"/>
      <c r="AY58" s="259"/>
      <c r="AZ58" s="3195"/>
      <c r="BB58" s="434"/>
      <c r="BC58" s="434" t="str">
        <f t="shared" si="2"/>
        <v>Добавить наименование поставщика</v>
      </c>
      <c r="BD58" s="434"/>
      <c r="BE58" s="434"/>
      <c r="BF58" s="1072">
        <v>11</v>
      </c>
    </row>
    <row r="59" spans="1:58" ht="11.5" customHeight="1">
      <c r="A59" s="1184" t="s">
        <v>204</v>
      </c>
      <c r="B59" s="1184" t="s">
        <v>205</v>
      </c>
      <c r="C59" s="1184" t="s">
        <v>206</v>
      </c>
      <c r="D59" s="1184" t="s">
        <v>207</v>
      </c>
      <c r="E59" s="3224"/>
      <c r="F59" s="3224"/>
      <c r="G59" s="3224"/>
      <c r="H59" s="3224"/>
      <c r="I59" s="3038"/>
      <c r="J59" s="3067"/>
      <c r="K59" s="1184"/>
      <c r="L59" s="1184"/>
      <c r="M59" s="1227"/>
      <c r="Q59" s="3198"/>
      <c r="R59" s="3198"/>
      <c r="S59" s="1248"/>
      <c r="T59" s="290"/>
      <c r="U59" s="1195"/>
      <c r="V59" s="222" t="s">
        <v>446</v>
      </c>
      <c r="W59" s="301"/>
      <c r="X59" s="301"/>
      <c r="Y59" s="301"/>
      <c r="Z59" s="301"/>
      <c r="AA59" s="301"/>
      <c r="AB59" s="301"/>
      <c r="AC59" s="1325"/>
      <c r="AD59" s="1325"/>
      <c r="AE59" s="1325"/>
      <c r="AF59" s="1325"/>
      <c r="AG59" s="301"/>
      <c r="AH59" s="301"/>
      <c r="AI59" s="301"/>
      <c r="AJ59" s="301"/>
      <c r="AK59" s="301"/>
      <c r="AL59" s="301"/>
      <c r="AM59" s="301"/>
      <c r="AN59" s="301"/>
      <c r="AO59" s="301"/>
      <c r="AP59" s="2759"/>
      <c r="AQ59" s="2760"/>
      <c r="AR59" s="2761"/>
      <c r="AS59" s="2762"/>
      <c r="AT59" s="2763"/>
      <c r="AU59" s="2764"/>
      <c r="AV59" s="2765"/>
      <c r="AW59" s="2766"/>
      <c r="AX59" s="2767"/>
      <c r="AY59" s="259"/>
      <c r="AZ59" s="3196"/>
      <c r="BB59" s="434"/>
      <c r="BC59" s="434" t="str">
        <f t="shared" si="2"/>
        <v>Добавить вид теплоносителя (параметры теплоносителя)</v>
      </c>
      <c r="BD59" s="434"/>
      <c r="BE59" s="434"/>
      <c r="BF59" s="1072">
        <v>11</v>
      </c>
    </row>
    <row r="60" spans="1:58" ht="11.5" customHeight="1">
      <c r="A60" s="1184" t="s">
        <v>204</v>
      </c>
      <c r="B60" s="1184" t="s">
        <v>205</v>
      </c>
      <c r="C60" s="1184" t="s">
        <v>206</v>
      </c>
      <c r="D60" s="1184" t="s">
        <v>207</v>
      </c>
      <c r="E60" s="3224"/>
      <c r="F60" s="3224"/>
      <c r="G60" s="3224"/>
      <c r="H60" s="3224"/>
      <c r="I60" s="3067"/>
      <c r="J60" s="1184"/>
      <c r="K60" s="1184"/>
      <c r="L60" s="1184"/>
      <c r="M60" s="1227"/>
      <c r="Q60" s="3198"/>
      <c r="R60" s="1248"/>
      <c r="S60" s="1248"/>
      <c r="T60" s="290"/>
      <c r="U60" s="1195"/>
      <c r="V60" s="299" t="s">
        <v>447</v>
      </c>
      <c r="W60" s="301"/>
      <c r="X60" s="301"/>
      <c r="Y60" s="301"/>
      <c r="Z60" s="301"/>
      <c r="AA60" s="301"/>
      <c r="AB60" s="301"/>
      <c r="AC60" s="301"/>
      <c r="AD60" s="301"/>
      <c r="AE60" s="301"/>
      <c r="AF60" s="300"/>
      <c r="AG60" s="301"/>
      <c r="AH60" s="301"/>
      <c r="AI60" s="301"/>
      <c r="AJ60" s="301"/>
      <c r="AK60" s="301"/>
      <c r="AL60" s="301"/>
      <c r="AM60" s="301"/>
      <c r="AN60" s="301"/>
      <c r="AO60" s="300"/>
      <c r="AP60" s="2768"/>
      <c r="AQ60" s="2769"/>
      <c r="AR60" s="2770"/>
      <c r="AS60" s="2771"/>
      <c r="AT60" s="2772"/>
      <c r="AU60" s="2773"/>
      <c r="AV60" s="2774"/>
      <c r="AW60" s="2775"/>
      <c r="AX60" s="2776"/>
      <c r="AY60" s="301"/>
      <c r="AZ60" s="238"/>
      <c r="BB60" s="434"/>
      <c r="BC60" s="434" t="str">
        <f t="shared" si="2"/>
        <v>Добавить группу потребителей</v>
      </c>
      <c r="BD60" s="434"/>
      <c r="BE60" s="434"/>
      <c r="BF60" s="1072">
        <v>11</v>
      </c>
    </row>
    <row r="61" spans="1:58" ht="0" hidden="1" customHeight="1">
      <c r="A61" s="1184" t="s">
        <v>204</v>
      </c>
      <c r="B61" s="1184" t="s">
        <v>205</v>
      </c>
      <c r="C61" s="1184" t="s">
        <v>206</v>
      </c>
      <c r="D61" s="1184" t="s">
        <v>207</v>
      </c>
      <c r="E61" s="3224"/>
      <c r="F61" s="3224"/>
      <c r="G61" s="3224"/>
      <c r="H61" s="3223"/>
      <c r="I61" s="1184"/>
      <c r="J61" s="1184"/>
      <c r="K61" s="1184"/>
      <c r="L61" s="1184"/>
      <c r="M61" s="1227"/>
      <c r="N61" s="622"/>
      <c r="O61" s="622"/>
      <c r="P61" s="443"/>
      <c r="Q61" s="294"/>
      <c r="R61" s="309"/>
      <c r="S61" s="289"/>
      <c r="T61" s="294"/>
      <c r="U61" s="1303"/>
      <c r="V61" s="1304"/>
      <c r="W61" s="1305"/>
      <c r="X61" s="1305"/>
      <c r="Y61" s="1305"/>
      <c r="Z61" s="1305"/>
      <c r="AA61" s="1305"/>
      <c r="AB61" s="1305"/>
      <c r="AC61" s="1305"/>
      <c r="AD61" s="1305"/>
      <c r="AE61" s="1305"/>
      <c r="AF61" s="1305"/>
      <c r="AG61" s="1305"/>
      <c r="AH61" s="1305"/>
      <c r="AI61" s="1305"/>
      <c r="AJ61" s="1305"/>
      <c r="AK61" s="1305"/>
      <c r="AL61" s="1305"/>
      <c r="AM61" s="1305"/>
      <c r="AN61" s="1305"/>
      <c r="AO61" s="1305"/>
      <c r="AP61" s="2530"/>
      <c r="AQ61" s="2530"/>
      <c r="AR61" s="2530"/>
      <c r="AS61" s="2530"/>
      <c r="AT61" s="2530"/>
      <c r="AU61" s="2530"/>
      <c r="AV61" s="2530"/>
      <c r="AW61" s="2530"/>
      <c r="AX61" s="2530"/>
      <c r="AY61" s="1305"/>
      <c r="AZ61" s="1306"/>
      <c r="BB61" s="434"/>
      <c r="BC61" s="434" t="str">
        <f t="shared" si="2"/>
        <v/>
      </c>
      <c r="BD61" s="434"/>
      <c r="BE61" s="434"/>
      <c r="BF61" s="1072">
        <v>0</v>
      </c>
    </row>
    <row r="62" spans="1:58" s="2017" customFormat="1" ht="0" hidden="1" customHeight="1">
      <c r="A62" s="1292" t="s">
        <v>204</v>
      </c>
      <c r="B62" s="1292" t="s">
        <v>205</v>
      </c>
      <c r="C62" s="1292" t="s">
        <v>206</v>
      </c>
      <c r="D62" s="1291"/>
      <c r="E62" s="3224"/>
      <c r="F62" s="3224"/>
      <c r="G62" s="3223"/>
      <c r="H62" s="1291"/>
      <c r="I62" s="1291"/>
      <c r="J62" s="1291"/>
      <c r="K62" s="1291"/>
      <c r="L62" s="1291"/>
      <c r="M62" s="1294"/>
      <c r="N62" s="1295"/>
      <c r="O62" s="1295"/>
      <c r="P62" s="285"/>
      <c r="Q62" s="1233"/>
      <c r="R62" s="1234"/>
      <c r="S62" s="1233"/>
      <c r="T62" s="1233"/>
      <c r="U62" s="1239"/>
      <c r="V62" s="1242" t="s">
        <v>180</v>
      </c>
      <c r="W62" s="1241"/>
      <c r="X62" s="1241"/>
      <c r="Y62" s="1241"/>
      <c r="Z62" s="1241"/>
      <c r="AA62" s="1241"/>
      <c r="AB62" s="1241"/>
      <c r="AC62" s="1241"/>
      <c r="AD62" s="1241"/>
      <c r="AE62" s="1241"/>
      <c r="AF62" s="1241"/>
      <c r="AG62" s="1241"/>
      <c r="AH62" s="1241"/>
      <c r="AI62" s="1241"/>
      <c r="AJ62" s="1241"/>
      <c r="AK62" s="1241"/>
      <c r="AL62" s="1241"/>
      <c r="AM62" s="1241"/>
      <c r="AN62" s="1241"/>
      <c r="AO62" s="1241"/>
      <c r="AP62" s="2249"/>
      <c r="AQ62" s="2249"/>
      <c r="AR62" s="2249"/>
      <c r="AS62" s="2249"/>
      <c r="AT62" s="2249"/>
      <c r="AU62" s="2249"/>
      <c r="AV62" s="2249"/>
      <c r="AW62" s="2249"/>
      <c r="AX62" s="2249"/>
      <c r="AY62" s="1241"/>
      <c r="AZ62" s="1241"/>
      <c r="BB62" s="717"/>
      <c r="BC62" s="717" t="str">
        <f t="shared" si="2"/>
        <v>Добавить источник для дифференциации</v>
      </c>
      <c r="BD62" s="717"/>
      <c r="BE62" s="717"/>
      <c r="BF62" s="452">
        <v>0</v>
      </c>
    </row>
    <row r="63" spans="1:58" s="2017" customFormat="1" ht="0" hidden="1" customHeight="1">
      <c r="A63" s="1292" t="s">
        <v>204</v>
      </c>
      <c r="B63" s="1292" t="s">
        <v>205</v>
      </c>
      <c r="C63" s="1291"/>
      <c r="D63" s="1291"/>
      <c r="E63" s="3224"/>
      <c r="F63" s="3223"/>
      <c r="G63" s="1291"/>
      <c r="H63" s="1291"/>
      <c r="I63" s="1291"/>
      <c r="J63" s="1291"/>
      <c r="K63" s="1291"/>
      <c r="L63" s="1291"/>
      <c r="M63" s="1294"/>
      <c r="N63" s="1296"/>
      <c r="O63" s="1296"/>
      <c r="P63" s="285"/>
      <c r="Q63" s="1233"/>
      <c r="R63" s="1234"/>
      <c r="S63" s="1233"/>
      <c r="T63" s="1233"/>
      <c r="U63" s="1239"/>
      <c r="V63" s="1242" t="s">
        <v>181</v>
      </c>
      <c r="W63" s="1241"/>
      <c r="X63" s="1241"/>
      <c r="Y63" s="1241"/>
      <c r="Z63" s="1241"/>
      <c r="AA63" s="1241"/>
      <c r="AB63" s="1241"/>
      <c r="AC63" s="1241"/>
      <c r="AD63" s="1241"/>
      <c r="AE63" s="1241"/>
      <c r="AF63" s="1241"/>
      <c r="AG63" s="1241"/>
      <c r="AH63" s="1241"/>
      <c r="AI63" s="1241"/>
      <c r="AJ63" s="1241"/>
      <c r="AK63" s="1241"/>
      <c r="AL63" s="1241"/>
      <c r="AM63" s="1241"/>
      <c r="AN63" s="1241"/>
      <c r="AO63" s="1241"/>
      <c r="AP63" s="2249"/>
      <c r="AQ63" s="2249"/>
      <c r="AR63" s="2249"/>
      <c r="AS63" s="2249"/>
      <c r="AT63" s="2249"/>
      <c r="AU63" s="2249"/>
      <c r="AV63" s="2249"/>
      <c r="AW63" s="2249"/>
      <c r="AX63" s="2249"/>
      <c r="AY63" s="1241"/>
      <c r="AZ63" s="1241"/>
      <c r="BB63" s="717"/>
      <c r="BC63" s="717" t="str">
        <f t="shared" si="2"/>
        <v>Добавить централизованную систему для дифференциации</v>
      </c>
      <c r="BD63" s="717"/>
      <c r="BE63" s="717"/>
      <c r="BF63" s="452">
        <v>0</v>
      </c>
    </row>
    <row r="64" spans="1:58" s="2777" customFormat="1" ht="21" customHeight="1">
      <c r="A64" s="2051"/>
      <c r="B64" s="2051" t="s">
        <v>208</v>
      </c>
      <c r="C64" s="2051"/>
      <c r="D64" s="2051"/>
      <c r="E64" s="3224"/>
      <c r="F64" s="3223" t="s">
        <v>104</v>
      </c>
      <c r="G64" s="2051"/>
      <c r="H64" s="2051"/>
      <c r="I64" s="2051"/>
      <c r="J64" s="2051"/>
      <c r="K64" s="2051"/>
      <c r="L64" s="2051"/>
      <c r="M64" s="2778"/>
      <c r="N64" s="2779"/>
      <c r="O64" s="2779"/>
      <c r="P64" s="2779"/>
      <c r="Q64" s="2287"/>
      <c r="R64" s="2288"/>
      <c r="S64" s="2219"/>
      <c r="T64" s="2289"/>
      <c r="U64" s="2290" t="str">
        <f>INDEX(PT_DIFFERENTIATION_NUM_TER,MATCH(B64,PT_DIFFERENTIATION_TER_ID,0))</f>
        <v>1.2</v>
      </c>
      <c r="V64" s="2291" t="s">
        <v>432</v>
      </c>
      <c r="W64" s="2292"/>
      <c r="X64" s="3185"/>
      <c r="Y64" s="3186"/>
      <c r="Z64" s="3186"/>
      <c r="AA64" s="3186"/>
      <c r="AB64" s="3186"/>
      <c r="AC64" s="3186"/>
      <c r="AD64" s="3186"/>
      <c r="AE64" s="3186"/>
      <c r="AF64" s="3187"/>
      <c r="AG64" s="3185" t="str">
        <f>INDEX(PT_DIFFERENTIATION_TER,MATCH(B64,PT_DIFFERENTIATION_TER_ID,0))</f>
        <v>Территория 2</v>
      </c>
      <c r="AH64" s="3186"/>
      <c r="AI64" s="3186"/>
      <c r="AJ64" s="3186"/>
      <c r="AK64" s="3186"/>
      <c r="AL64" s="3186"/>
      <c r="AM64" s="3186"/>
      <c r="AN64" s="3186"/>
      <c r="AO64" s="3186"/>
      <c r="AP64" s="3185"/>
      <c r="AQ64" s="3186"/>
      <c r="AR64" s="3186"/>
      <c r="AS64" s="3186"/>
      <c r="AT64" s="3186"/>
      <c r="AU64" s="3186"/>
      <c r="AV64" s="3186"/>
      <c r="AW64" s="3186"/>
      <c r="AX64" s="3187"/>
      <c r="AY64" s="3187"/>
      <c r="AZ64" s="2293" t="s">
        <v>433</v>
      </c>
      <c r="BA64" s="2256"/>
      <c r="BB64" s="2294"/>
      <c r="BC64" s="2294" t="str">
        <f t="shared" si="2"/>
        <v>Территория действия тарифа</v>
      </c>
      <c r="BD64" s="2294"/>
      <c r="BE64" s="2294"/>
      <c r="BF64" s="2219">
        <v>0</v>
      </c>
    </row>
    <row r="65" spans="1:58" s="2780" customFormat="1" ht="22.5" customHeight="1">
      <c r="A65" s="2051"/>
      <c r="B65" s="2051"/>
      <c r="C65" s="2051" t="s">
        <v>209</v>
      </c>
      <c r="D65" s="2051"/>
      <c r="E65" s="3224"/>
      <c r="F65" s="3224">
        <v>1</v>
      </c>
      <c r="G65" s="3223">
        <v>1</v>
      </c>
      <c r="H65" s="2051"/>
      <c r="I65" s="2051"/>
      <c r="J65" s="2051"/>
      <c r="K65" s="2051"/>
      <c r="L65" s="2051"/>
      <c r="M65" s="2778"/>
      <c r="N65" s="2779"/>
      <c r="O65" s="2779"/>
      <c r="P65" s="2779"/>
      <c r="Q65" s="2296"/>
      <c r="R65" s="2288"/>
      <c r="S65" s="2219"/>
      <c r="T65" s="2289"/>
      <c r="U65" s="2290" t="str">
        <f>INDEX(PT_DIFFERENTIATION_NUM_CS,MATCH(C65,PT_DIFFERENTIATION_CS_ID,0))</f>
        <v>1.2.1</v>
      </c>
      <c r="V65" s="2297" t="s">
        <v>434</v>
      </c>
      <c r="W65" s="2292"/>
      <c r="X65" s="3185"/>
      <c r="Y65" s="3186"/>
      <c r="Z65" s="3186"/>
      <c r="AA65" s="3186"/>
      <c r="AB65" s="3186"/>
      <c r="AC65" s="3186"/>
      <c r="AD65" s="3186"/>
      <c r="AE65" s="3186"/>
      <c r="AF65" s="3187"/>
      <c r="AG65" s="3185" t="str">
        <f>INDEX(PT_DIFFERENTIATION_CS,MATCH(C65,PT_DIFFERENTIATION_CS_ID,0))</f>
        <v>без дифференциации</v>
      </c>
      <c r="AH65" s="3186"/>
      <c r="AI65" s="3186"/>
      <c r="AJ65" s="3186"/>
      <c r="AK65" s="3186"/>
      <c r="AL65" s="3186"/>
      <c r="AM65" s="3186"/>
      <c r="AN65" s="3186"/>
      <c r="AO65" s="3186"/>
      <c r="AP65" s="3185"/>
      <c r="AQ65" s="3186"/>
      <c r="AR65" s="3186"/>
      <c r="AS65" s="3186"/>
      <c r="AT65" s="3186"/>
      <c r="AU65" s="3186"/>
      <c r="AV65" s="3186"/>
      <c r="AW65" s="3186"/>
      <c r="AX65" s="3187"/>
      <c r="AY65" s="3187"/>
      <c r="AZ65" s="2293" t="s">
        <v>435</v>
      </c>
      <c r="BA65" s="2256"/>
      <c r="BB65" s="2294"/>
      <c r="BC65" s="2294" t="str">
        <f t="shared" si="2"/>
        <v xml:space="preserve">Наименование системы теплоснабжения </v>
      </c>
      <c r="BD65" s="2294"/>
      <c r="BE65" s="2294"/>
      <c r="BF65" s="2219">
        <v>0</v>
      </c>
    </row>
    <row r="66" spans="1:58" s="2781" customFormat="1" ht="21" customHeight="1">
      <c r="A66" s="2051"/>
      <c r="B66" s="2051"/>
      <c r="C66" s="2051"/>
      <c r="D66" s="2051" t="s">
        <v>210</v>
      </c>
      <c r="E66" s="3224"/>
      <c r="F66" s="3224">
        <v>1</v>
      </c>
      <c r="G66" s="3224"/>
      <c r="H66" s="3223">
        <v>1</v>
      </c>
      <c r="I66" s="2051"/>
      <c r="J66" s="2051"/>
      <c r="K66" s="2051"/>
      <c r="L66" s="2051"/>
      <c r="M66" s="2778"/>
      <c r="N66" s="2779"/>
      <c r="O66" s="2779"/>
      <c r="P66" s="2779"/>
      <c r="Q66" s="2296"/>
      <c r="R66" s="2288"/>
      <c r="S66" s="2219"/>
      <c r="T66" s="2289"/>
      <c r="U66" s="2290" t="str">
        <f>INDEX(PT_DIFFERENTIATION_NUM_IST_TE,MATCH(D66,PT_DIFFERENTIATION_IST_TE_ID,0))</f>
        <v>1.2.1.1</v>
      </c>
      <c r="V66" s="2299" t="s">
        <v>436</v>
      </c>
      <c r="W66" s="2292"/>
      <c r="X66" s="3185"/>
      <c r="Y66" s="3186"/>
      <c r="Z66" s="3186"/>
      <c r="AA66" s="3186"/>
      <c r="AB66" s="3186"/>
      <c r="AC66" s="3186"/>
      <c r="AD66" s="3186"/>
      <c r="AE66" s="3186"/>
      <c r="AF66" s="3187"/>
      <c r="AG66" s="3185" t="str">
        <f>INDEX(PT_DIFFERENTIATION_IST_TE,MATCH(D66,PT_DIFFERENTIATION_IST_TE_ID,0))</f>
        <v>без дифференциации</v>
      </c>
      <c r="AH66" s="3186"/>
      <c r="AI66" s="3186"/>
      <c r="AJ66" s="3186"/>
      <c r="AK66" s="3186"/>
      <c r="AL66" s="3186"/>
      <c r="AM66" s="3186"/>
      <c r="AN66" s="3186"/>
      <c r="AO66" s="3186"/>
      <c r="AP66" s="3185"/>
      <c r="AQ66" s="3186"/>
      <c r="AR66" s="3186"/>
      <c r="AS66" s="3186"/>
      <c r="AT66" s="3186"/>
      <c r="AU66" s="3186"/>
      <c r="AV66" s="3186"/>
      <c r="AW66" s="3186"/>
      <c r="AX66" s="3187"/>
      <c r="AY66" s="3187"/>
      <c r="AZ66" s="2293" t="s">
        <v>437</v>
      </c>
      <c r="BA66" s="2256"/>
      <c r="BB66" s="2294"/>
      <c r="BC66" s="2294" t="str">
        <f t="shared" si="2"/>
        <v xml:space="preserve">Источник тепловой энергии  </v>
      </c>
      <c r="BD66" s="2294"/>
      <c r="BE66" s="2294"/>
      <c r="BF66" s="2219">
        <v>0</v>
      </c>
    </row>
    <row r="67" spans="1:58" s="2782" customFormat="1" ht="14.25" customHeight="1">
      <c r="A67" s="2051"/>
      <c r="B67" s="2051"/>
      <c r="C67" s="2051"/>
      <c r="D67" s="2051"/>
      <c r="E67" s="3224"/>
      <c r="F67" s="3224">
        <v>1</v>
      </c>
      <c r="G67" s="3224"/>
      <c r="H67" s="3224"/>
      <c r="I67" s="3067" t="str">
        <f>U66&amp;".1"</f>
        <v>1.2.1.1.1</v>
      </c>
      <c r="J67" s="2051"/>
      <c r="K67" s="2051"/>
      <c r="L67" s="2051"/>
      <c r="M67" s="2778" t="s">
        <v>438</v>
      </c>
      <c r="N67" s="2219"/>
      <c r="O67" s="2783"/>
      <c r="P67" s="2783"/>
      <c r="Q67" s="3198">
        <v>1</v>
      </c>
      <c r="R67" s="2302"/>
      <c r="S67" s="2302"/>
      <c r="T67" s="2303"/>
      <c r="U67" s="2551"/>
      <c r="V67" s="2552"/>
      <c r="W67" s="2553"/>
      <c r="X67" s="3228"/>
      <c r="Y67" s="3229"/>
      <c r="Z67" s="3229"/>
      <c r="AA67" s="3229"/>
      <c r="AB67" s="3229"/>
      <c r="AC67" s="3229"/>
      <c r="AD67" s="3229"/>
      <c r="AE67" s="3229"/>
      <c r="AF67" s="3230"/>
      <c r="AG67" s="3228"/>
      <c r="AH67" s="3229"/>
      <c r="AI67" s="3229"/>
      <c r="AJ67" s="3229"/>
      <c r="AK67" s="3229"/>
      <c r="AL67" s="3229"/>
      <c r="AM67" s="3229"/>
      <c r="AN67" s="3229"/>
      <c r="AO67" s="3229"/>
      <c r="AP67" s="3228"/>
      <c r="AQ67" s="3229"/>
      <c r="AR67" s="3229"/>
      <c r="AS67" s="3229"/>
      <c r="AT67" s="3229"/>
      <c r="AU67" s="3229"/>
      <c r="AV67" s="3229"/>
      <c r="AW67" s="3229"/>
      <c r="AX67" s="3230"/>
      <c r="AY67" s="3230"/>
      <c r="AZ67" s="2554"/>
      <c r="BA67" s="2256"/>
      <c r="BB67" s="2294"/>
      <c r="BC67" s="2294" t="str">
        <f t="shared" si="2"/>
        <v/>
      </c>
      <c r="BD67" s="2294"/>
      <c r="BE67" s="2294"/>
      <c r="BF67" s="2219">
        <v>0</v>
      </c>
    </row>
    <row r="68" spans="1:58" s="2784" customFormat="1" ht="21" customHeight="1">
      <c r="A68" s="2051"/>
      <c r="B68" s="2051"/>
      <c r="C68" s="2051"/>
      <c r="D68" s="2051"/>
      <c r="E68" s="3224"/>
      <c r="F68" s="3224">
        <v>1</v>
      </c>
      <c r="G68" s="3224"/>
      <c r="H68" s="3224"/>
      <c r="I68" s="3038"/>
      <c r="J68" s="3067" t="str">
        <f>I67&amp;".1"</f>
        <v>1.2.1.1.1.1</v>
      </c>
      <c r="K68" s="2051"/>
      <c r="L68" s="2051"/>
      <c r="M68" s="2778" t="s">
        <v>441</v>
      </c>
      <c r="N68" s="2219"/>
      <c r="O68" s="2219"/>
      <c r="P68" s="2783"/>
      <c r="Q68" s="3198"/>
      <c r="R68" s="3198">
        <v>1</v>
      </c>
      <c r="S68" s="2256"/>
      <c r="T68" s="2306"/>
      <c r="U68" s="2290" t="str">
        <f>$J68</f>
        <v>1.2.1.1.1.1</v>
      </c>
      <c r="V68" s="2307" t="s">
        <v>442</v>
      </c>
      <c r="W68" s="2292"/>
      <c r="X68" s="3188"/>
      <c r="Y68" s="3189"/>
      <c r="Z68" s="3189"/>
      <c r="AA68" s="3189"/>
      <c r="AB68" s="3189"/>
      <c r="AC68" s="3181"/>
      <c r="AD68" s="3181"/>
      <c r="AE68" s="3181"/>
      <c r="AF68" s="3241"/>
      <c r="AG68" s="3188" t="s">
        <v>481</v>
      </c>
      <c r="AH68" s="3189"/>
      <c r="AI68" s="3189"/>
      <c r="AJ68" s="3189"/>
      <c r="AK68" s="3189"/>
      <c r="AL68" s="3189"/>
      <c r="AM68" s="3189"/>
      <c r="AN68" s="3189"/>
      <c r="AO68" s="3189"/>
      <c r="AP68" s="3188"/>
      <c r="AQ68" s="3189"/>
      <c r="AR68" s="3189"/>
      <c r="AS68" s="3189"/>
      <c r="AT68" s="3189"/>
      <c r="AU68" s="3181"/>
      <c r="AV68" s="3181"/>
      <c r="AW68" s="3181"/>
      <c r="AX68" s="3241"/>
      <c r="AY68" s="3190"/>
      <c r="AZ68" s="2293" t="s">
        <v>443</v>
      </c>
      <c r="BA68" s="2256"/>
      <c r="BB68" s="2294"/>
      <c r="BC68" s="2294" t="str">
        <f t="shared" si="2"/>
        <v>Группа потребителей</v>
      </c>
      <c r="BD68" s="2294"/>
      <c r="BE68" s="2294"/>
      <c r="BF68" s="2219">
        <v>0</v>
      </c>
    </row>
    <row r="69" spans="1:58" s="2785" customFormat="1" ht="21" customHeight="1">
      <c r="A69" s="2051"/>
      <c r="B69" s="2051"/>
      <c r="C69" s="2051"/>
      <c r="D69" s="2051"/>
      <c r="E69" s="3224"/>
      <c r="F69" s="3224">
        <v>1</v>
      </c>
      <c r="G69" s="3224"/>
      <c r="H69" s="3224"/>
      <c r="I69" s="3038"/>
      <c r="J69" s="3038"/>
      <c r="K69" s="3067" t="str">
        <f>J68&amp;".1"</f>
        <v>1.2.1.1.1.1.1</v>
      </c>
      <c r="L69" s="2287"/>
      <c r="M69" s="2778" t="s">
        <v>444</v>
      </c>
      <c r="N69" s="2219"/>
      <c r="O69" s="2219"/>
      <c r="P69" s="2219"/>
      <c r="Q69" s="3198"/>
      <c r="R69" s="3198"/>
      <c r="S69" s="3198">
        <v>1</v>
      </c>
      <c r="T69" s="2306"/>
      <c r="U69" s="2290" t="str">
        <f>$K69</f>
        <v>1.2.1.1.1.1.1</v>
      </c>
      <c r="V69" s="2309" t="s">
        <v>482</v>
      </c>
      <c r="W69" s="2292"/>
      <c r="X69" s="2220"/>
      <c r="Y69" s="2220"/>
      <c r="Z69" s="2220"/>
      <c r="AA69" s="2220"/>
      <c r="AB69" s="2728"/>
      <c r="AC69" s="3202"/>
      <c r="AD69" s="3048" t="s">
        <v>67</v>
      </c>
      <c r="AE69" s="3202"/>
      <c r="AF69" s="3048" t="s">
        <v>67</v>
      </c>
      <c r="AG69" s="2786"/>
      <c r="AH69" s="2220">
        <v>30.26</v>
      </c>
      <c r="AI69" s="2220">
        <v>25899.4</v>
      </c>
      <c r="AJ69" s="2220"/>
      <c r="AK69" s="2222"/>
      <c r="AL69" s="3202">
        <v>45658</v>
      </c>
      <c r="AM69" s="3048" t="s">
        <v>67</v>
      </c>
      <c r="AN69" s="3202">
        <v>45838</v>
      </c>
      <c r="AO69" s="3048" t="s">
        <v>67</v>
      </c>
      <c r="AP69" s="2220"/>
      <c r="AQ69" s="2220">
        <v>31.74</v>
      </c>
      <c r="AR69" s="2220">
        <v>55325.04</v>
      </c>
      <c r="AS69" s="2220"/>
      <c r="AT69" s="2728"/>
      <c r="AU69" s="3202">
        <v>45839</v>
      </c>
      <c r="AV69" s="3048" t="s">
        <v>67</v>
      </c>
      <c r="AW69" s="3202">
        <v>46022</v>
      </c>
      <c r="AX69" s="3048" t="s">
        <v>67</v>
      </c>
      <c r="AY69" s="2221"/>
      <c r="AZ69" s="2787" t="s">
        <v>485</v>
      </c>
      <c r="BA69" s="2256" t="e">
        <f ca="1">STRCHECKDATE(X71:AY71)</f>
        <v>#NAME?</v>
      </c>
      <c r="BB69" s="2294"/>
      <c r="BC69" s="2294" t="str">
        <f t="shared" si="2"/>
        <v>вода</v>
      </c>
      <c r="BD69" s="2294"/>
      <c r="BE69" s="2294"/>
      <c r="BF69" s="2219">
        <v>0</v>
      </c>
    </row>
    <row r="70" spans="1:58" s="2788" customFormat="1" ht="21" customHeight="1">
      <c r="A70" s="2051"/>
      <c r="B70" s="2051"/>
      <c r="C70" s="2051"/>
      <c r="D70" s="2051"/>
      <c r="E70" s="3224"/>
      <c r="F70" s="3224">
        <v>1</v>
      </c>
      <c r="G70" s="3224"/>
      <c r="H70" s="3224"/>
      <c r="I70" s="3038"/>
      <c r="J70" s="3038"/>
      <c r="K70" s="3038"/>
      <c r="L70" s="3067" t="str">
        <f>K69&amp;".1"</f>
        <v>1.2.1.1.1.1.1.1</v>
      </c>
      <c r="M70" s="2778"/>
      <c r="N70" s="2219"/>
      <c r="O70" s="2219"/>
      <c r="P70" s="2219"/>
      <c r="Q70" s="3198"/>
      <c r="R70" s="3198"/>
      <c r="S70" s="3198"/>
      <c r="T70" s="2306"/>
      <c r="U70" s="2290" t="str">
        <f>$L70</f>
        <v>1.2.1.1.1.1.1.1</v>
      </c>
      <c r="V70" s="2789"/>
      <c r="W70" s="2292"/>
      <c r="X70" s="2221"/>
      <c r="Y70" s="2220"/>
      <c r="Z70" s="2220"/>
      <c r="AA70" s="2220"/>
      <c r="AB70" s="2728"/>
      <c r="AC70" s="3203"/>
      <c r="AD70" s="3048"/>
      <c r="AE70" s="3203"/>
      <c r="AF70" s="3048"/>
      <c r="AG70" s="2786"/>
      <c r="AH70" s="2220"/>
      <c r="AI70" s="2220"/>
      <c r="AJ70" s="2220"/>
      <c r="AK70" s="2222"/>
      <c r="AL70" s="3203"/>
      <c r="AM70" s="3048"/>
      <c r="AN70" s="3203"/>
      <c r="AO70" s="3048"/>
      <c r="AP70" s="2221"/>
      <c r="AQ70" s="2220"/>
      <c r="AR70" s="2220"/>
      <c r="AS70" s="2220"/>
      <c r="AT70" s="2728"/>
      <c r="AU70" s="3203"/>
      <c r="AV70" s="3048"/>
      <c r="AW70" s="3203"/>
      <c r="AX70" s="3048"/>
      <c r="AY70" s="2221"/>
      <c r="AZ70" s="3194" t="s">
        <v>486</v>
      </c>
      <c r="BA70" s="2256"/>
      <c r="BB70" s="2294"/>
      <c r="BC70" s="2294"/>
      <c r="BD70" s="2294"/>
      <c r="BE70" s="2294"/>
      <c r="BF70" s="2219">
        <v>0</v>
      </c>
    </row>
    <row r="71" spans="1:58" s="2790" customFormat="1" ht="14.25" customHeight="1">
      <c r="A71" s="2051"/>
      <c r="B71" s="2051"/>
      <c r="C71" s="2051"/>
      <c r="D71" s="2051"/>
      <c r="E71" s="3224"/>
      <c r="F71" s="3224">
        <v>1</v>
      </c>
      <c r="G71" s="3224"/>
      <c r="H71" s="3224"/>
      <c r="I71" s="3038"/>
      <c r="J71" s="3038"/>
      <c r="K71" s="3038"/>
      <c r="L71" s="3067"/>
      <c r="M71" s="2778"/>
      <c r="N71" s="2219"/>
      <c r="O71" s="2219"/>
      <c r="P71" s="2219"/>
      <c r="Q71" s="3198"/>
      <c r="R71" s="3198"/>
      <c r="S71" s="3198"/>
      <c r="T71" s="2306"/>
      <c r="U71" s="2311"/>
      <c r="V71" s="2292"/>
      <c r="W71" s="2292"/>
      <c r="X71" s="2221"/>
      <c r="Y71" s="2221"/>
      <c r="Z71" s="2221"/>
      <c r="AA71" s="2221"/>
      <c r="AB71" s="2729" t="str">
        <f>AC69&amp;"-"&amp;AE69</f>
        <v>-</v>
      </c>
      <c r="AC71" s="3203"/>
      <c r="AD71" s="3048"/>
      <c r="AE71" s="3203"/>
      <c r="AF71" s="3048"/>
      <c r="AG71" s="2791"/>
      <c r="AH71" s="2221"/>
      <c r="AI71" s="2221"/>
      <c r="AJ71" s="2221"/>
      <c r="AK71" s="2223" t="str">
        <f>AL69&amp;"-"&amp;AN69</f>
        <v>45658-45838</v>
      </c>
      <c r="AL71" s="3203"/>
      <c r="AM71" s="3048"/>
      <c r="AN71" s="3203"/>
      <c r="AO71" s="3048"/>
      <c r="AP71" s="2221"/>
      <c r="AQ71" s="2221"/>
      <c r="AR71" s="2221"/>
      <c r="AS71" s="2221"/>
      <c r="AT71" s="2729" t="str">
        <f>AU69&amp;"-"&amp;AW69</f>
        <v>45839-46022</v>
      </c>
      <c r="AU71" s="3203"/>
      <c r="AV71" s="3048"/>
      <c r="AW71" s="3203"/>
      <c r="AX71" s="3048"/>
      <c r="AY71" s="2221"/>
      <c r="AZ71" s="3195"/>
      <c r="BA71" s="2256"/>
      <c r="BB71" s="2294"/>
      <c r="BC71" s="2294" t="str">
        <f>IF(V71="","",V71)</f>
        <v/>
      </c>
      <c r="BD71" s="2294"/>
      <c r="BE71" s="2294"/>
      <c r="BF71" s="2219">
        <v>0</v>
      </c>
    </row>
    <row r="72" spans="1:58" s="2792" customFormat="1" ht="11.25" customHeight="1">
      <c r="A72" s="2051"/>
      <c r="B72" s="2051"/>
      <c r="C72" s="2051"/>
      <c r="D72" s="2051"/>
      <c r="E72" s="3224"/>
      <c r="F72" s="3224">
        <v>1</v>
      </c>
      <c r="G72" s="3224"/>
      <c r="H72" s="3224"/>
      <c r="I72" s="3038"/>
      <c r="J72" s="3038"/>
      <c r="K72" s="3067"/>
      <c r="L72" s="2051"/>
      <c r="M72" s="2778"/>
      <c r="N72" s="2219"/>
      <c r="O72" s="2219"/>
      <c r="P72" s="2219"/>
      <c r="Q72" s="3198"/>
      <c r="R72" s="3198"/>
      <c r="S72" s="3198"/>
      <c r="T72" s="2306"/>
      <c r="U72" s="2793"/>
      <c r="V72" s="2794" t="s">
        <v>487</v>
      </c>
      <c r="W72" s="2795"/>
      <c r="X72" s="2796"/>
      <c r="Y72" s="2797"/>
      <c r="Z72" s="2798"/>
      <c r="AA72" s="2799"/>
      <c r="AB72" s="2800"/>
      <c r="AC72" s="3203"/>
      <c r="AD72" s="3048"/>
      <c r="AE72" s="3203"/>
      <c r="AF72" s="3048"/>
      <c r="AG72" s="2801"/>
      <c r="AH72" s="2802"/>
      <c r="AI72" s="2803"/>
      <c r="AJ72" s="2804"/>
      <c r="AK72" s="2805"/>
      <c r="AL72" s="3203"/>
      <c r="AM72" s="3048"/>
      <c r="AN72" s="3203"/>
      <c r="AO72" s="3048"/>
      <c r="AP72" s="2806"/>
      <c r="AQ72" s="2807"/>
      <c r="AR72" s="2808"/>
      <c r="AS72" s="2809"/>
      <c r="AT72" s="2810"/>
      <c r="AU72" s="3203"/>
      <c r="AV72" s="3048"/>
      <c r="AW72" s="3203"/>
      <c r="AX72" s="3048"/>
      <c r="AY72" s="2811"/>
      <c r="AZ72" s="3195"/>
      <c r="BA72" s="2256"/>
      <c r="BB72" s="2294"/>
      <c r="BC72" s="2294"/>
      <c r="BD72" s="2294"/>
      <c r="BE72" s="2294"/>
      <c r="BF72" s="2219">
        <v>0</v>
      </c>
    </row>
    <row r="73" spans="1:58" s="2812" customFormat="1" ht="15" customHeight="1">
      <c r="A73" s="2051"/>
      <c r="B73" s="2051"/>
      <c r="C73" s="2051"/>
      <c r="D73" s="2051"/>
      <c r="E73" s="3224"/>
      <c r="F73" s="3224">
        <v>1</v>
      </c>
      <c r="G73" s="3224"/>
      <c r="H73" s="3224"/>
      <c r="I73" s="3038"/>
      <c r="J73" s="3067"/>
      <c r="K73" s="2051"/>
      <c r="L73" s="2051"/>
      <c r="M73" s="2778"/>
      <c r="N73" s="2219"/>
      <c r="O73" s="2219"/>
      <c r="P73" s="2783"/>
      <c r="Q73" s="3198"/>
      <c r="R73" s="3198"/>
      <c r="S73" s="2302"/>
      <c r="T73" s="2303"/>
      <c r="U73" s="2813"/>
      <c r="V73" s="2814" t="s">
        <v>446</v>
      </c>
      <c r="W73" s="2815"/>
      <c r="X73" s="2816"/>
      <c r="Y73" s="2817"/>
      <c r="Z73" s="2818"/>
      <c r="AA73" s="2819"/>
      <c r="AB73" s="2820"/>
      <c r="AC73" s="2821"/>
      <c r="AD73" s="2822"/>
      <c r="AE73" s="2823"/>
      <c r="AF73" s="2824"/>
      <c r="AG73" s="2825"/>
      <c r="AH73" s="2826"/>
      <c r="AI73" s="2827"/>
      <c r="AJ73" s="2828"/>
      <c r="AK73" s="2829"/>
      <c r="AL73" s="2830"/>
      <c r="AM73" s="2831"/>
      <c r="AN73" s="2832"/>
      <c r="AO73" s="2833"/>
      <c r="AP73" s="2834"/>
      <c r="AQ73" s="2835"/>
      <c r="AR73" s="2836"/>
      <c r="AS73" s="2837"/>
      <c r="AT73" s="2838"/>
      <c r="AU73" s="2839"/>
      <c r="AV73" s="2840"/>
      <c r="AW73" s="2841"/>
      <c r="AX73" s="2842"/>
      <c r="AY73" s="2843"/>
      <c r="AZ73" s="3196"/>
      <c r="BA73" s="2256"/>
      <c r="BB73" s="2294"/>
      <c r="BC73" s="2294" t="str">
        <f t="shared" ref="BC73:BC83" si="3">IF(V73="","",V73)</f>
        <v>Добавить вид теплоносителя (параметры теплоносителя)</v>
      </c>
      <c r="BD73" s="2294"/>
      <c r="BE73" s="2294"/>
      <c r="BF73" s="2219">
        <v>0</v>
      </c>
    </row>
    <row r="74" spans="1:58" s="2844" customFormat="1" ht="11.25" customHeight="1">
      <c r="A74" s="2051"/>
      <c r="B74" s="2051"/>
      <c r="C74" s="2051"/>
      <c r="D74" s="2051"/>
      <c r="E74" s="3224"/>
      <c r="F74" s="3224">
        <v>1</v>
      </c>
      <c r="G74" s="3224"/>
      <c r="H74" s="3224"/>
      <c r="I74" s="3067"/>
      <c r="J74" s="2051"/>
      <c r="K74" s="2051"/>
      <c r="L74" s="2051"/>
      <c r="M74" s="2778"/>
      <c r="N74" s="2219"/>
      <c r="O74" s="2783"/>
      <c r="P74" s="2783"/>
      <c r="Q74" s="3198"/>
      <c r="R74" s="2302"/>
      <c r="S74" s="2302"/>
      <c r="T74" s="2303"/>
      <c r="U74" s="2845"/>
      <c r="V74" s="2846" t="s">
        <v>447</v>
      </c>
      <c r="W74" s="2847"/>
      <c r="X74" s="2848"/>
      <c r="Y74" s="2849"/>
      <c r="Z74" s="2850"/>
      <c r="AA74" s="2851"/>
      <c r="AB74" s="2852"/>
      <c r="AC74" s="2853"/>
      <c r="AD74" s="2854"/>
      <c r="AE74" s="2855"/>
      <c r="AF74" s="2856"/>
      <c r="AG74" s="2857"/>
      <c r="AH74" s="2858"/>
      <c r="AI74" s="2859"/>
      <c r="AJ74" s="2860"/>
      <c r="AK74" s="2861"/>
      <c r="AL74" s="2862"/>
      <c r="AM74" s="2863"/>
      <c r="AN74" s="2864"/>
      <c r="AO74" s="2865"/>
      <c r="AP74" s="2866"/>
      <c r="AQ74" s="2867"/>
      <c r="AR74" s="2868"/>
      <c r="AS74" s="2869"/>
      <c r="AT74" s="2870"/>
      <c r="AU74" s="2871"/>
      <c r="AV74" s="2872"/>
      <c r="AW74" s="2873"/>
      <c r="AX74" s="2874"/>
      <c r="AY74" s="2875"/>
      <c r="AZ74" s="2876"/>
      <c r="BA74" s="2256"/>
      <c r="BB74" s="2294"/>
      <c r="BC74" s="2294" t="str">
        <f t="shared" si="3"/>
        <v>Добавить группу потребителей</v>
      </c>
      <c r="BD74" s="2294"/>
      <c r="BE74" s="2294"/>
      <c r="BF74" s="2219">
        <v>0</v>
      </c>
    </row>
    <row r="75" spans="1:58" s="2877" customFormat="1" ht="14.25" customHeight="1">
      <c r="A75" s="2051"/>
      <c r="B75" s="2051"/>
      <c r="C75" s="2051"/>
      <c r="D75" s="2051"/>
      <c r="E75" s="3224"/>
      <c r="F75" s="3224">
        <v>1</v>
      </c>
      <c r="G75" s="3224"/>
      <c r="H75" s="3223"/>
      <c r="I75" s="2051"/>
      <c r="J75" s="2051"/>
      <c r="K75" s="2051"/>
      <c r="L75" s="2051"/>
      <c r="M75" s="2778"/>
      <c r="N75" s="2779"/>
      <c r="O75" s="2779"/>
      <c r="P75" s="2219"/>
      <c r="Q75" s="2372"/>
      <c r="R75" s="2373"/>
      <c r="S75" s="2374"/>
      <c r="T75" s="2372"/>
      <c r="U75" s="2618"/>
      <c r="V75" s="2619"/>
      <c r="W75" s="2530"/>
      <c r="X75" s="2530"/>
      <c r="Y75" s="2530"/>
      <c r="Z75" s="2530"/>
      <c r="AA75" s="2530"/>
      <c r="AB75" s="2530"/>
      <c r="AC75" s="2530"/>
      <c r="AD75" s="2530"/>
      <c r="AE75" s="2530"/>
      <c r="AF75" s="2530"/>
      <c r="AG75" s="2530"/>
      <c r="AH75" s="2530"/>
      <c r="AI75" s="2530"/>
      <c r="AJ75" s="2530"/>
      <c r="AK75" s="2530"/>
      <c r="AL75" s="2530"/>
      <c r="AM75" s="2530"/>
      <c r="AN75" s="2530"/>
      <c r="AO75" s="2530"/>
      <c r="AP75" s="2530"/>
      <c r="AQ75" s="2530"/>
      <c r="AR75" s="2530"/>
      <c r="AS75" s="2530"/>
      <c r="AT75" s="2530"/>
      <c r="AU75" s="2530"/>
      <c r="AV75" s="2530"/>
      <c r="AW75" s="2530"/>
      <c r="AX75" s="2530"/>
      <c r="AY75" s="2530"/>
      <c r="AZ75" s="2620"/>
      <c r="BA75" s="2256"/>
      <c r="BB75" s="2294"/>
      <c r="BC75" s="2294" t="str">
        <f t="shared" si="3"/>
        <v/>
      </c>
      <c r="BD75" s="2294"/>
      <c r="BE75" s="2294"/>
      <c r="BF75" s="2219">
        <v>0</v>
      </c>
    </row>
    <row r="76" spans="1:58" s="2878" customFormat="1" ht="14.25" customHeight="1">
      <c r="A76" s="2879"/>
      <c r="B76" s="2879"/>
      <c r="C76" s="2879"/>
      <c r="D76" s="2879"/>
      <c r="E76" s="3224"/>
      <c r="F76" s="3224">
        <v>1</v>
      </c>
      <c r="G76" s="3223"/>
      <c r="H76" s="2879"/>
      <c r="I76" s="2879"/>
      <c r="J76" s="2879"/>
      <c r="K76" s="2879"/>
      <c r="L76" s="2879"/>
      <c r="M76" s="2880"/>
      <c r="N76" s="2881"/>
      <c r="O76" s="2881"/>
      <c r="P76" s="2882"/>
      <c r="Q76" s="2408"/>
      <c r="R76" s="2409"/>
      <c r="S76" s="2408"/>
      <c r="T76" s="2408"/>
      <c r="U76" s="2410"/>
      <c r="V76" s="2411" t="s">
        <v>180</v>
      </c>
      <c r="W76" s="2248"/>
      <c r="X76" s="2248"/>
      <c r="Y76" s="2248"/>
      <c r="Z76" s="2248"/>
      <c r="AA76" s="2248"/>
      <c r="AB76" s="2248"/>
      <c r="AC76" s="2248"/>
      <c r="AD76" s="2248"/>
      <c r="AE76" s="2248"/>
      <c r="AF76" s="2248"/>
      <c r="AG76" s="2248"/>
      <c r="AH76" s="2248"/>
      <c r="AI76" s="2248"/>
      <c r="AJ76" s="2248"/>
      <c r="AK76" s="2248"/>
      <c r="AL76" s="2248"/>
      <c r="AM76" s="2248"/>
      <c r="AN76" s="2248"/>
      <c r="AO76" s="2248"/>
      <c r="AP76" s="2248"/>
      <c r="AQ76" s="2248"/>
      <c r="AR76" s="2248"/>
      <c r="AS76" s="2248"/>
      <c r="AT76" s="2248"/>
      <c r="AU76" s="2248"/>
      <c r="AV76" s="2248"/>
      <c r="AW76" s="2248"/>
      <c r="AX76" s="2248"/>
      <c r="AY76" s="2248"/>
      <c r="AZ76" s="2248"/>
      <c r="BA76" s="2256"/>
      <c r="BB76" s="2294"/>
      <c r="BC76" s="2294" t="str">
        <f t="shared" si="3"/>
        <v>Добавить источник для дифференциации</v>
      </c>
      <c r="BD76" s="2294"/>
      <c r="BE76" s="2294"/>
      <c r="BF76" s="2256">
        <v>0</v>
      </c>
    </row>
    <row r="77" spans="1:58" s="2883" customFormat="1" ht="14.25" customHeight="1">
      <c r="A77" s="2879"/>
      <c r="B77" s="2879"/>
      <c r="C77" s="2879"/>
      <c r="D77" s="2879"/>
      <c r="E77" s="3224"/>
      <c r="F77" s="3223">
        <v>1</v>
      </c>
      <c r="G77" s="2879"/>
      <c r="H77" s="2879"/>
      <c r="I77" s="2879"/>
      <c r="J77" s="2879"/>
      <c r="K77" s="2879"/>
      <c r="L77" s="2879"/>
      <c r="M77" s="2880"/>
      <c r="N77" s="2884"/>
      <c r="O77" s="2884"/>
      <c r="P77" s="2882"/>
      <c r="Q77" s="2408"/>
      <c r="R77" s="2409"/>
      <c r="S77" s="2408"/>
      <c r="T77" s="2408"/>
      <c r="U77" s="2414"/>
      <c r="V77" s="2415" t="s">
        <v>181</v>
      </c>
      <c r="W77" s="2249"/>
      <c r="X77" s="2249"/>
      <c r="Y77" s="2249"/>
      <c r="Z77" s="2249"/>
      <c r="AA77" s="2249"/>
      <c r="AB77" s="2249"/>
      <c r="AC77" s="2249"/>
      <c r="AD77" s="2249"/>
      <c r="AE77" s="2249"/>
      <c r="AF77" s="2249"/>
      <c r="AG77" s="2249"/>
      <c r="AH77" s="2249"/>
      <c r="AI77" s="2249"/>
      <c r="AJ77" s="2249"/>
      <c r="AK77" s="2249"/>
      <c r="AL77" s="2249"/>
      <c r="AM77" s="2249"/>
      <c r="AN77" s="2249"/>
      <c r="AO77" s="2249"/>
      <c r="AP77" s="2249"/>
      <c r="AQ77" s="2249"/>
      <c r="AR77" s="2249"/>
      <c r="AS77" s="2249"/>
      <c r="AT77" s="2249"/>
      <c r="AU77" s="2249"/>
      <c r="AV77" s="2249"/>
      <c r="AW77" s="2249"/>
      <c r="AX77" s="2249"/>
      <c r="AY77" s="2249"/>
      <c r="AZ77" s="2249"/>
      <c r="BA77" s="2256"/>
      <c r="BB77" s="2294"/>
      <c r="BC77" s="2294" t="str">
        <f t="shared" si="3"/>
        <v>Добавить централизованную систему для дифференциации</v>
      </c>
      <c r="BD77" s="2294"/>
      <c r="BE77" s="2294"/>
      <c r="BF77" s="2256">
        <v>0</v>
      </c>
    </row>
    <row r="78" spans="1:58" s="2885" customFormat="1" ht="21" customHeight="1">
      <c r="A78" s="2051"/>
      <c r="B78" s="2051" t="s">
        <v>211</v>
      </c>
      <c r="C78" s="2051"/>
      <c r="D78" s="2051"/>
      <c r="E78" s="3224"/>
      <c r="F78" s="3223" t="s">
        <v>91</v>
      </c>
      <c r="G78" s="2051"/>
      <c r="H78" s="2051"/>
      <c r="I78" s="2051"/>
      <c r="J78" s="2051"/>
      <c r="K78" s="2051"/>
      <c r="L78" s="2051"/>
      <c r="M78" s="2778"/>
      <c r="N78" s="2779"/>
      <c r="O78" s="2779"/>
      <c r="P78" s="2779"/>
      <c r="Q78" s="2287"/>
      <c r="R78" s="2288"/>
      <c r="S78" s="2219"/>
      <c r="T78" s="2289"/>
      <c r="U78" s="2290" t="str">
        <f>INDEX(PT_DIFFERENTIATION_NUM_TER,MATCH(B78,PT_DIFFERENTIATION_TER_ID,0))</f>
        <v>1.3</v>
      </c>
      <c r="V78" s="2291" t="s">
        <v>432</v>
      </c>
      <c r="W78" s="2292"/>
      <c r="X78" s="3185"/>
      <c r="Y78" s="3186"/>
      <c r="Z78" s="3186"/>
      <c r="AA78" s="3186"/>
      <c r="AB78" s="3186"/>
      <c r="AC78" s="3186"/>
      <c r="AD78" s="3186"/>
      <c r="AE78" s="3186"/>
      <c r="AF78" s="3187"/>
      <c r="AG78" s="3185" t="str">
        <f>INDEX(PT_DIFFERENTIATION_TER,MATCH(B78,PT_DIFFERENTIATION_TER_ID,0))</f>
        <v>Территория 3</v>
      </c>
      <c r="AH78" s="3186"/>
      <c r="AI78" s="3186"/>
      <c r="AJ78" s="3186"/>
      <c r="AK78" s="3186"/>
      <c r="AL78" s="3186"/>
      <c r="AM78" s="3186"/>
      <c r="AN78" s="3186"/>
      <c r="AO78" s="3186"/>
      <c r="AP78" s="3185"/>
      <c r="AQ78" s="3186"/>
      <c r="AR78" s="3186"/>
      <c r="AS78" s="3186"/>
      <c r="AT78" s="3186"/>
      <c r="AU78" s="3186"/>
      <c r="AV78" s="3186"/>
      <c r="AW78" s="3186"/>
      <c r="AX78" s="3187"/>
      <c r="AY78" s="3187"/>
      <c r="AZ78" s="2293" t="s">
        <v>433</v>
      </c>
      <c r="BA78" s="2256"/>
      <c r="BB78" s="2294"/>
      <c r="BC78" s="2294" t="str">
        <f t="shared" si="3"/>
        <v>Территория действия тарифа</v>
      </c>
      <c r="BD78" s="2294"/>
      <c r="BE78" s="2294"/>
      <c r="BF78" s="2219">
        <v>0</v>
      </c>
    </row>
    <row r="79" spans="1:58" s="2886" customFormat="1" ht="22.5" customHeight="1">
      <c r="A79" s="2051"/>
      <c r="B79" s="2051"/>
      <c r="C79" s="2051" t="s">
        <v>212</v>
      </c>
      <c r="D79" s="2051"/>
      <c r="E79" s="3224"/>
      <c r="F79" s="3224" t="s">
        <v>104</v>
      </c>
      <c r="G79" s="3223">
        <v>1</v>
      </c>
      <c r="H79" s="2051"/>
      <c r="I79" s="2051"/>
      <c r="J79" s="2051"/>
      <c r="K79" s="2051"/>
      <c r="L79" s="2051"/>
      <c r="M79" s="2778"/>
      <c r="N79" s="2779"/>
      <c r="O79" s="2779"/>
      <c r="P79" s="2779"/>
      <c r="Q79" s="2296"/>
      <c r="R79" s="2288"/>
      <c r="S79" s="2219"/>
      <c r="T79" s="2289"/>
      <c r="U79" s="2290" t="str">
        <f>INDEX(PT_DIFFERENTIATION_NUM_CS,MATCH(C79,PT_DIFFERENTIATION_CS_ID,0))</f>
        <v>1.3.1</v>
      </c>
      <c r="V79" s="2297" t="s">
        <v>434</v>
      </c>
      <c r="W79" s="2292"/>
      <c r="X79" s="3185"/>
      <c r="Y79" s="3186"/>
      <c r="Z79" s="3186"/>
      <c r="AA79" s="3186"/>
      <c r="AB79" s="3186"/>
      <c r="AC79" s="3186"/>
      <c r="AD79" s="3186"/>
      <c r="AE79" s="3186"/>
      <c r="AF79" s="3187"/>
      <c r="AG79" s="3185" t="str">
        <f>INDEX(PT_DIFFERENTIATION_CS,MATCH(C79,PT_DIFFERENTIATION_CS_ID,0))</f>
        <v>без дифференциации</v>
      </c>
      <c r="AH79" s="3186"/>
      <c r="AI79" s="3186"/>
      <c r="AJ79" s="3186"/>
      <c r="AK79" s="3186"/>
      <c r="AL79" s="3186"/>
      <c r="AM79" s="3186"/>
      <c r="AN79" s="3186"/>
      <c r="AO79" s="3186"/>
      <c r="AP79" s="3185"/>
      <c r="AQ79" s="3186"/>
      <c r="AR79" s="3186"/>
      <c r="AS79" s="3186"/>
      <c r="AT79" s="3186"/>
      <c r="AU79" s="3186"/>
      <c r="AV79" s="3186"/>
      <c r="AW79" s="3186"/>
      <c r="AX79" s="3187"/>
      <c r="AY79" s="3187"/>
      <c r="AZ79" s="2293" t="s">
        <v>435</v>
      </c>
      <c r="BA79" s="2256"/>
      <c r="BB79" s="2294"/>
      <c r="BC79" s="2294" t="str">
        <f t="shared" si="3"/>
        <v xml:space="preserve">Наименование системы теплоснабжения </v>
      </c>
      <c r="BD79" s="2294"/>
      <c r="BE79" s="2294"/>
      <c r="BF79" s="2219">
        <v>0</v>
      </c>
    </row>
    <row r="80" spans="1:58" s="2887" customFormat="1" ht="21" customHeight="1">
      <c r="A80" s="2051"/>
      <c r="B80" s="2051"/>
      <c r="C80" s="2051"/>
      <c r="D80" s="2051" t="s">
        <v>213</v>
      </c>
      <c r="E80" s="3224"/>
      <c r="F80" s="3224" t="s">
        <v>104</v>
      </c>
      <c r="G80" s="3224"/>
      <c r="H80" s="3223">
        <v>1</v>
      </c>
      <c r="I80" s="2051"/>
      <c r="J80" s="2051"/>
      <c r="K80" s="2051"/>
      <c r="L80" s="2051"/>
      <c r="M80" s="2778"/>
      <c r="N80" s="2779"/>
      <c r="O80" s="2779"/>
      <c r="P80" s="2779"/>
      <c r="Q80" s="2296"/>
      <c r="R80" s="2288"/>
      <c r="S80" s="2219"/>
      <c r="T80" s="2289"/>
      <c r="U80" s="2290" t="str">
        <f>INDEX(PT_DIFFERENTIATION_NUM_IST_TE,MATCH(D80,PT_DIFFERENTIATION_IST_TE_ID,0))</f>
        <v>1.3.1.1</v>
      </c>
      <c r="V80" s="2299" t="s">
        <v>436</v>
      </c>
      <c r="W80" s="2292"/>
      <c r="X80" s="3185"/>
      <c r="Y80" s="3186"/>
      <c r="Z80" s="3186"/>
      <c r="AA80" s="3186"/>
      <c r="AB80" s="3186"/>
      <c r="AC80" s="3186"/>
      <c r="AD80" s="3186"/>
      <c r="AE80" s="3186"/>
      <c r="AF80" s="3187"/>
      <c r="AG80" s="3185" t="str">
        <f>INDEX(PT_DIFFERENTIATION_IST_TE,MATCH(D80,PT_DIFFERENTIATION_IST_TE_ID,0))</f>
        <v>без дифференциации</v>
      </c>
      <c r="AH80" s="3186"/>
      <c r="AI80" s="3186"/>
      <c r="AJ80" s="3186"/>
      <c r="AK80" s="3186"/>
      <c r="AL80" s="3186"/>
      <c r="AM80" s="3186"/>
      <c r="AN80" s="3186"/>
      <c r="AO80" s="3186"/>
      <c r="AP80" s="3185"/>
      <c r="AQ80" s="3186"/>
      <c r="AR80" s="3186"/>
      <c r="AS80" s="3186"/>
      <c r="AT80" s="3186"/>
      <c r="AU80" s="3186"/>
      <c r="AV80" s="3186"/>
      <c r="AW80" s="3186"/>
      <c r="AX80" s="3187"/>
      <c r="AY80" s="3187"/>
      <c r="AZ80" s="2293" t="s">
        <v>437</v>
      </c>
      <c r="BA80" s="2256"/>
      <c r="BB80" s="2294"/>
      <c r="BC80" s="2294" t="str">
        <f t="shared" si="3"/>
        <v xml:space="preserve">Источник тепловой энергии  </v>
      </c>
      <c r="BD80" s="2294"/>
      <c r="BE80" s="2294"/>
      <c r="BF80" s="2219">
        <v>0</v>
      </c>
    </row>
    <row r="81" spans="1:58" s="2888" customFormat="1" ht="14.25" customHeight="1">
      <c r="A81" s="2051"/>
      <c r="B81" s="2051"/>
      <c r="C81" s="2051"/>
      <c r="D81" s="2051"/>
      <c r="E81" s="3224"/>
      <c r="F81" s="3224" t="s">
        <v>104</v>
      </c>
      <c r="G81" s="3224"/>
      <c r="H81" s="3224"/>
      <c r="I81" s="3067" t="str">
        <f>U80&amp;".1"</f>
        <v>1.3.1.1.1</v>
      </c>
      <c r="J81" s="2051"/>
      <c r="K81" s="2051"/>
      <c r="L81" s="2051"/>
      <c r="M81" s="2778" t="s">
        <v>438</v>
      </c>
      <c r="N81" s="2219"/>
      <c r="O81" s="2783"/>
      <c r="P81" s="2783"/>
      <c r="Q81" s="3198">
        <v>1</v>
      </c>
      <c r="R81" s="2302"/>
      <c r="S81" s="2302"/>
      <c r="T81" s="2303"/>
      <c r="U81" s="2551"/>
      <c r="V81" s="2552"/>
      <c r="W81" s="2553"/>
      <c r="X81" s="3228"/>
      <c r="Y81" s="3229"/>
      <c r="Z81" s="3229"/>
      <c r="AA81" s="3229"/>
      <c r="AB81" s="3229"/>
      <c r="AC81" s="3229"/>
      <c r="AD81" s="3229"/>
      <c r="AE81" s="3229"/>
      <c r="AF81" s="3230"/>
      <c r="AG81" s="3228"/>
      <c r="AH81" s="3229"/>
      <c r="AI81" s="3229"/>
      <c r="AJ81" s="3229"/>
      <c r="AK81" s="3229"/>
      <c r="AL81" s="3229"/>
      <c r="AM81" s="3229"/>
      <c r="AN81" s="3229"/>
      <c r="AO81" s="3229"/>
      <c r="AP81" s="3228"/>
      <c r="AQ81" s="3229"/>
      <c r="AR81" s="3229"/>
      <c r="AS81" s="3229"/>
      <c r="AT81" s="3229"/>
      <c r="AU81" s="3229"/>
      <c r="AV81" s="3229"/>
      <c r="AW81" s="3229"/>
      <c r="AX81" s="3230"/>
      <c r="AY81" s="3230"/>
      <c r="AZ81" s="2554"/>
      <c r="BA81" s="2256"/>
      <c r="BB81" s="2294"/>
      <c r="BC81" s="2294" t="str">
        <f t="shared" si="3"/>
        <v/>
      </c>
      <c r="BD81" s="2294"/>
      <c r="BE81" s="2294"/>
      <c r="BF81" s="2219">
        <v>0</v>
      </c>
    </row>
    <row r="82" spans="1:58" s="2889" customFormat="1" ht="21" customHeight="1">
      <c r="A82" s="2051"/>
      <c r="B82" s="2051"/>
      <c r="C82" s="2051"/>
      <c r="D82" s="2051"/>
      <c r="E82" s="3224"/>
      <c r="F82" s="3224" t="s">
        <v>104</v>
      </c>
      <c r="G82" s="3224"/>
      <c r="H82" s="3224"/>
      <c r="I82" s="3038"/>
      <c r="J82" s="3067" t="str">
        <f>I81&amp;".1"</f>
        <v>1.3.1.1.1.1</v>
      </c>
      <c r="K82" s="2051"/>
      <c r="L82" s="2051"/>
      <c r="M82" s="2778" t="s">
        <v>441</v>
      </c>
      <c r="N82" s="2219"/>
      <c r="O82" s="2219"/>
      <c r="P82" s="2783"/>
      <c r="Q82" s="3198"/>
      <c r="R82" s="3198">
        <v>1</v>
      </c>
      <c r="S82" s="2256"/>
      <c r="T82" s="2306"/>
      <c r="U82" s="2290" t="str">
        <f>$J82</f>
        <v>1.3.1.1.1.1</v>
      </c>
      <c r="V82" s="2307" t="s">
        <v>442</v>
      </c>
      <c r="W82" s="2292"/>
      <c r="X82" s="3188"/>
      <c r="Y82" s="3189"/>
      <c r="Z82" s="3189"/>
      <c r="AA82" s="3189"/>
      <c r="AB82" s="3189"/>
      <c r="AC82" s="3181"/>
      <c r="AD82" s="3181"/>
      <c r="AE82" s="3181"/>
      <c r="AF82" s="3241"/>
      <c r="AG82" s="3188" t="s">
        <v>481</v>
      </c>
      <c r="AH82" s="3189"/>
      <c r="AI82" s="3189"/>
      <c r="AJ82" s="3189"/>
      <c r="AK82" s="3189"/>
      <c r="AL82" s="3189"/>
      <c r="AM82" s="3189"/>
      <c r="AN82" s="3189"/>
      <c r="AO82" s="3189"/>
      <c r="AP82" s="3188"/>
      <c r="AQ82" s="3189"/>
      <c r="AR82" s="3189"/>
      <c r="AS82" s="3189"/>
      <c r="AT82" s="3189"/>
      <c r="AU82" s="3181"/>
      <c r="AV82" s="3181"/>
      <c r="AW82" s="3181"/>
      <c r="AX82" s="3241"/>
      <c r="AY82" s="3190"/>
      <c r="AZ82" s="2293" t="s">
        <v>443</v>
      </c>
      <c r="BA82" s="2256"/>
      <c r="BB82" s="2294"/>
      <c r="BC82" s="2294" t="str">
        <f t="shared" si="3"/>
        <v>Группа потребителей</v>
      </c>
      <c r="BD82" s="2294"/>
      <c r="BE82" s="2294"/>
      <c r="BF82" s="2219">
        <v>0</v>
      </c>
    </row>
    <row r="83" spans="1:58" s="2890" customFormat="1" ht="21" customHeight="1">
      <c r="A83" s="2051"/>
      <c r="B83" s="2051"/>
      <c r="C83" s="2051"/>
      <c r="D83" s="2051"/>
      <c r="E83" s="3224"/>
      <c r="F83" s="3224" t="s">
        <v>104</v>
      </c>
      <c r="G83" s="3224"/>
      <c r="H83" s="3224"/>
      <c r="I83" s="3038"/>
      <c r="J83" s="3038"/>
      <c r="K83" s="3067" t="str">
        <f>J82&amp;".1"</f>
        <v>1.3.1.1.1.1.1</v>
      </c>
      <c r="L83" s="2287"/>
      <c r="M83" s="2778" t="s">
        <v>444</v>
      </c>
      <c r="N83" s="2219"/>
      <c r="O83" s="2219"/>
      <c r="P83" s="2219"/>
      <c r="Q83" s="3198"/>
      <c r="R83" s="3198"/>
      <c r="S83" s="3198">
        <v>1</v>
      </c>
      <c r="T83" s="2306"/>
      <c r="U83" s="2290" t="str">
        <f>$K83</f>
        <v>1.3.1.1.1.1.1</v>
      </c>
      <c r="V83" s="2309" t="s">
        <v>482</v>
      </c>
      <c r="W83" s="2292"/>
      <c r="X83" s="2220"/>
      <c r="Y83" s="2220"/>
      <c r="Z83" s="2220"/>
      <c r="AA83" s="2220"/>
      <c r="AB83" s="2728"/>
      <c r="AC83" s="3202"/>
      <c r="AD83" s="3048" t="s">
        <v>67</v>
      </c>
      <c r="AE83" s="3202"/>
      <c r="AF83" s="3048" t="s">
        <v>67</v>
      </c>
      <c r="AG83" s="2786"/>
      <c r="AH83" s="2220">
        <v>69.31</v>
      </c>
      <c r="AI83" s="2220">
        <v>26040.12</v>
      </c>
      <c r="AJ83" s="2220"/>
      <c r="AK83" s="2222"/>
      <c r="AL83" s="3202">
        <v>45658</v>
      </c>
      <c r="AM83" s="3048" t="s">
        <v>67</v>
      </c>
      <c r="AN83" s="3202">
        <v>45838</v>
      </c>
      <c r="AO83" s="3048" t="s">
        <v>67</v>
      </c>
      <c r="AP83" s="2220"/>
      <c r="AQ83" s="2220">
        <v>72.709999999999994</v>
      </c>
      <c r="AR83" s="2220">
        <v>26040.12</v>
      </c>
      <c r="AS83" s="2220"/>
      <c r="AT83" s="2728"/>
      <c r="AU83" s="3202">
        <v>45839</v>
      </c>
      <c r="AV83" s="3048" t="s">
        <v>67</v>
      </c>
      <c r="AW83" s="3202">
        <v>45838</v>
      </c>
      <c r="AX83" s="3048" t="s">
        <v>67</v>
      </c>
      <c r="AY83" s="2221"/>
      <c r="AZ83" s="2787" t="s">
        <v>485</v>
      </c>
      <c r="BA83" s="2256" t="e">
        <f ca="1">STRCHECKDATE(X85:AY85)</f>
        <v>#NAME?</v>
      </c>
      <c r="BB83" s="2294"/>
      <c r="BC83" s="2294" t="str">
        <f t="shared" si="3"/>
        <v>вода</v>
      </c>
      <c r="BD83" s="2294"/>
      <c r="BE83" s="2294"/>
      <c r="BF83" s="2219">
        <v>0</v>
      </c>
    </row>
    <row r="84" spans="1:58" s="2891" customFormat="1" ht="21" customHeight="1">
      <c r="A84" s="2051"/>
      <c r="B84" s="2051"/>
      <c r="C84" s="2051"/>
      <c r="D84" s="2051"/>
      <c r="E84" s="3224"/>
      <c r="F84" s="3224" t="s">
        <v>104</v>
      </c>
      <c r="G84" s="3224"/>
      <c r="H84" s="3224"/>
      <c r="I84" s="3038"/>
      <c r="J84" s="3038"/>
      <c r="K84" s="3038"/>
      <c r="L84" s="3067" t="str">
        <f>K83&amp;".1"</f>
        <v>1.3.1.1.1.1.1.1</v>
      </c>
      <c r="M84" s="2778"/>
      <c r="N84" s="2219"/>
      <c r="O84" s="2219"/>
      <c r="P84" s="2219"/>
      <c r="Q84" s="3198"/>
      <c r="R84" s="3198"/>
      <c r="S84" s="3198"/>
      <c r="T84" s="2306"/>
      <c r="U84" s="2290" t="str">
        <f>$L84</f>
        <v>1.3.1.1.1.1.1.1</v>
      </c>
      <c r="V84" s="2789"/>
      <c r="W84" s="2292"/>
      <c r="X84" s="2221"/>
      <c r="Y84" s="2220"/>
      <c r="Z84" s="2220"/>
      <c r="AA84" s="2220"/>
      <c r="AB84" s="2728"/>
      <c r="AC84" s="3203"/>
      <c r="AD84" s="3048"/>
      <c r="AE84" s="3203"/>
      <c r="AF84" s="3048"/>
      <c r="AG84" s="2786"/>
      <c r="AH84" s="2220"/>
      <c r="AI84" s="2220"/>
      <c r="AJ84" s="2220"/>
      <c r="AK84" s="2222"/>
      <c r="AL84" s="3203"/>
      <c r="AM84" s="3048"/>
      <c r="AN84" s="3203"/>
      <c r="AO84" s="3048"/>
      <c r="AP84" s="2221"/>
      <c r="AQ84" s="2220"/>
      <c r="AR84" s="2220"/>
      <c r="AS84" s="2220"/>
      <c r="AT84" s="2728"/>
      <c r="AU84" s="3203"/>
      <c r="AV84" s="3048"/>
      <c r="AW84" s="3203"/>
      <c r="AX84" s="3048"/>
      <c r="AY84" s="2221"/>
      <c r="AZ84" s="3194" t="s">
        <v>486</v>
      </c>
      <c r="BA84" s="2256"/>
      <c r="BB84" s="2294"/>
      <c r="BC84" s="2294"/>
      <c r="BD84" s="2294"/>
      <c r="BE84" s="2294"/>
      <c r="BF84" s="2219">
        <v>0</v>
      </c>
    </row>
    <row r="85" spans="1:58" s="2892" customFormat="1" ht="14.25" customHeight="1">
      <c r="A85" s="2051"/>
      <c r="B85" s="2051"/>
      <c r="C85" s="2051"/>
      <c r="D85" s="2051"/>
      <c r="E85" s="3224"/>
      <c r="F85" s="3224" t="s">
        <v>104</v>
      </c>
      <c r="G85" s="3224"/>
      <c r="H85" s="3224"/>
      <c r="I85" s="3038"/>
      <c r="J85" s="3038"/>
      <c r="K85" s="3038"/>
      <c r="L85" s="3067"/>
      <c r="M85" s="2778"/>
      <c r="N85" s="2219"/>
      <c r="O85" s="2219"/>
      <c r="P85" s="2219"/>
      <c r="Q85" s="3198"/>
      <c r="R85" s="3198"/>
      <c r="S85" s="3198"/>
      <c r="T85" s="2306"/>
      <c r="U85" s="2311"/>
      <c r="V85" s="2292"/>
      <c r="W85" s="2292"/>
      <c r="X85" s="2221"/>
      <c r="Y85" s="2221"/>
      <c r="Z85" s="2221"/>
      <c r="AA85" s="2221"/>
      <c r="AB85" s="2729" t="str">
        <f>AC83&amp;"-"&amp;AE83</f>
        <v>-</v>
      </c>
      <c r="AC85" s="3203"/>
      <c r="AD85" s="3048"/>
      <c r="AE85" s="3203"/>
      <c r="AF85" s="3048"/>
      <c r="AG85" s="2791"/>
      <c r="AH85" s="2221"/>
      <c r="AI85" s="2221"/>
      <c r="AJ85" s="2221"/>
      <c r="AK85" s="2223" t="str">
        <f>AL83&amp;"-"&amp;AN83</f>
        <v>45658-45838</v>
      </c>
      <c r="AL85" s="3203"/>
      <c r="AM85" s="3048"/>
      <c r="AN85" s="3203"/>
      <c r="AO85" s="3048"/>
      <c r="AP85" s="2221"/>
      <c r="AQ85" s="2221"/>
      <c r="AR85" s="2221"/>
      <c r="AS85" s="2221"/>
      <c r="AT85" s="2729" t="str">
        <f>AU83&amp;"-"&amp;AW83</f>
        <v>45839-45838</v>
      </c>
      <c r="AU85" s="3203"/>
      <c r="AV85" s="3048"/>
      <c r="AW85" s="3203"/>
      <c r="AX85" s="3048"/>
      <c r="AY85" s="2221"/>
      <c r="AZ85" s="3195"/>
      <c r="BA85" s="2256"/>
      <c r="BB85" s="2294"/>
      <c r="BC85" s="2294" t="str">
        <f>IF(V85="","",V85)</f>
        <v/>
      </c>
      <c r="BD85" s="2294"/>
      <c r="BE85" s="2294"/>
      <c r="BF85" s="2219">
        <v>0</v>
      </c>
    </row>
    <row r="86" spans="1:58" s="2893" customFormat="1" ht="11.25" customHeight="1">
      <c r="A86" s="2051"/>
      <c r="B86" s="2051"/>
      <c r="C86" s="2051"/>
      <c r="D86" s="2051"/>
      <c r="E86" s="3224"/>
      <c r="F86" s="3224" t="s">
        <v>104</v>
      </c>
      <c r="G86" s="3224"/>
      <c r="H86" s="3224"/>
      <c r="I86" s="3038"/>
      <c r="J86" s="3038"/>
      <c r="K86" s="3067"/>
      <c r="L86" s="2051"/>
      <c r="M86" s="2778"/>
      <c r="N86" s="2219"/>
      <c r="O86" s="2219"/>
      <c r="P86" s="2219"/>
      <c r="Q86" s="3198"/>
      <c r="R86" s="3198"/>
      <c r="S86" s="3198"/>
      <c r="T86" s="2306"/>
      <c r="U86" s="2894"/>
      <c r="V86" s="2895" t="s">
        <v>487</v>
      </c>
      <c r="W86" s="2896"/>
      <c r="X86" s="2897"/>
      <c r="Y86" s="2898"/>
      <c r="Z86" s="2899"/>
      <c r="AA86" s="2900"/>
      <c r="AB86" s="2901"/>
      <c r="AC86" s="3203"/>
      <c r="AD86" s="3048"/>
      <c r="AE86" s="3203"/>
      <c r="AF86" s="3048"/>
      <c r="AG86" s="2902"/>
      <c r="AH86" s="2903"/>
      <c r="AI86" s="2904"/>
      <c r="AJ86" s="2905"/>
      <c r="AK86" s="2906"/>
      <c r="AL86" s="3203"/>
      <c r="AM86" s="3048"/>
      <c r="AN86" s="3203"/>
      <c r="AO86" s="3048"/>
      <c r="AP86" s="2907"/>
      <c r="AQ86" s="2908"/>
      <c r="AR86" s="2909"/>
      <c r="AS86" s="2910"/>
      <c r="AT86" s="2911"/>
      <c r="AU86" s="3203"/>
      <c r="AV86" s="3048"/>
      <c r="AW86" s="3203"/>
      <c r="AX86" s="3048"/>
      <c r="AY86" s="2912"/>
      <c r="AZ86" s="3195"/>
      <c r="BA86" s="2256"/>
      <c r="BB86" s="2294"/>
      <c r="BC86" s="2294"/>
      <c r="BD86" s="2294"/>
      <c r="BE86" s="2294"/>
      <c r="BF86" s="2219">
        <v>0</v>
      </c>
    </row>
    <row r="87" spans="1:58" s="2913" customFormat="1" ht="15" customHeight="1">
      <c r="A87" s="2051"/>
      <c r="B87" s="2051"/>
      <c r="C87" s="2051"/>
      <c r="D87" s="2051"/>
      <c r="E87" s="3224"/>
      <c r="F87" s="3224" t="s">
        <v>104</v>
      </c>
      <c r="G87" s="3224"/>
      <c r="H87" s="3224"/>
      <c r="I87" s="3038"/>
      <c r="J87" s="3067"/>
      <c r="K87" s="2051"/>
      <c r="L87" s="2051"/>
      <c r="M87" s="2778"/>
      <c r="N87" s="2219"/>
      <c r="O87" s="2219"/>
      <c r="P87" s="2783"/>
      <c r="Q87" s="3198"/>
      <c r="R87" s="3198"/>
      <c r="S87" s="2302"/>
      <c r="T87" s="2303"/>
      <c r="U87" s="2914"/>
      <c r="V87" s="2915" t="s">
        <v>446</v>
      </c>
      <c r="W87" s="2916"/>
      <c r="X87" s="2917"/>
      <c r="Y87" s="2918"/>
      <c r="Z87" s="2919"/>
      <c r="AA87" s="2920"/>
      <c r="AB87" s="2921"/>
      <c r="AC87" s="2922"/>
      <c r="AD87" s="2923"/>
      <c r="AE87" s="2924"/>
      <c r="AF87" s="2925"/>
      <c r="AG87" s="2926"/>
      <c r="AH87" s="2927"/>
      <c r="AI87" s="2928"/>
      <c r="AJ87" s="2929"/>
      <c r="AK87" s="2930"/>
      <c r="AL87" s="2931"/>
      <c r="AM87" s="2932"/>
      <c r="AN87" s="2933"/>
      <c r="AO87" s="2934"/>
      <c r="AP87" s="2935"/>
      <c r="AQ87" s="2936"/>
      <c r="AR87" s="2937"/>
      <c r="AS87" s="2938"/>
      <c r="AT87" s="2939"/>
      <c r="AU87" s="2940"/>
      <c r="AV87" s="2941"/>
      <c r="AW87" s="2942"/>
      <c r="AX87" s="2943"/>
      <c r="AY87" s="2944"/>
      <c r="AZ87" s="3196"/>
      <c r="BA87" s="2256"/>
      <c r="BB87" s="2294"/>
      <c r="BC87" s="2294" t="str">
        <f t="shared" ref="BC87:BC93" si="4">IF(V87="","",V87)</f>
        <v>Добавить вид теплоносителя (параметры теплоносителя)</v>
      </c>
      <c r="BD87" s="2294"/>
      <c r="BE87" s="2294"/>
      <c r="BF87" s="2219">
        <v>0</v>
      </c>
    </row>
    <row r="88" spans="1:58" s="2945" customFormat="1" ht="11.25" customHeight="1">
      <c r="A88" s="2051"/>
      <c r="B88" s="2051"/>
      <c r="C88" s="2051"/>
      <c r="D88" s="2051"/>
      <c r="E88" s="3224"/>
      <c r="F88" s="3224" t="s">
        <v>104</v>
      </c>
      <c r="G88" s="3224"/>
      <c r="H88" s="3224"/>
      <c r="I88" s="3067"/>
      <c r="J88" s="2051"/>
      <c r="K88" s="2051"/>
      <c r="L88" s="2051"/>
      <c r="M88" s="2778"/>
      <c r="N88" s="2219"/>
      <c r="O88" s="2783"/>
      <c r="P88" s="2783"/>
      <c r="Q88" s="3198"/>
      <c r="R88" s="2302"/>
      <c r="S88" s="2302"/>
      <c r="T88" s="2303"/>
      <c r="U88" s="2946"/>
      <c r="V88" s="2947" t="s">
        <v>447</v>
      </c>
      <c r="W88" s="2948"/>
      <c r="X88" s="2949"/>
      <c r="Y88" s="2950"/>
      <c r="Z88" s="2951"/>
      <c r="AA88" s="2952"/>
      <c r="AB88" s="2953"/>
      <c r="AC88" s="2954"/>
      <c r="AD88" s="2955"/>
      <c r="AE88" s="2956"/>
      <c r="AF88" s="2957"/>
      <c r="AG88" s="2958"/>
      <c r="AH88" s="2959"/>
      <c r="AI88" s="2960"/>
      <c r="AJ88" s="2961"/>
      <c r="AK88" s="2962"/>
      <c r="AL88" s="2963"/>
      <c r="AM88" s="2964"/>
      <c r="AN88" s="2965"/>
      <c r="AO88" s="2966"/>
      <c r="AP88" s="2967"/>
      <c r="AQ88" s="2968"/>
      <c r="AR88" s="2969"/>
      <c r="AS88" s="2970"/>
      <c r="AT88" s="2971"/>
      <c r="AU88" s="2972"/>
      <c r="AV88" s="2973"/>
      <c r="AW88" s="2974"/>
      <c r="AX88" s="2975"/>
      <c r="AY88" s="2976"/>
      <c r="AZ88" s="2977"/>
      <c r="BA88" s="2256"/>
      <c r="BB88" s="2294"/>
      <c r="BC88" s="2294" t="str">
        <f t="shared" si="4"/>
        <v>Добавить группу потребителей</v>
      </c>
      <c r="BD88" s="2294"/>
      <c r="BE88" s="2294"/>
      <c r="BF88" s="2219">
        <v>0</v>
      </c>
    </row>
    <row r="89" spans="1:58" s="2978" customFormat="1" ht="14.25" customHeight="1">
      <c r="A89" s="2051"/>
      <c r="B89" s="2051"/>
      <c r="C89" s="2051"/>
      <c r="D89" s="2051"/>
      <c r="E89" s="3224"/>
      <c r="F89" s="3224" t="s">
        <v>104</v>
      </c>
      <c r="G89" s="3224"/>
      <c r="H89" s="3223"/>
      <c r="I89" s="2051"/>
      <c r="J89" s="2051"/>
      <c r="K89" s="2051"/>
      <c r="L89" s="2051"/>
      <c r="M89" s="2778"/>
      <c r="N89" s="2779"/>
      <c r="O89" s="2779"/>
      <c r="P89" s="2219"/>
      <c r="Q89" s="2372"/>
      <c r="R89" s="2373"/>
      <c r="S89" s="2374"/>
      <c r="T89" s="2372"/>
      <c r="U89" s="2618"/>
      <c r="V89" s="2619"/>
      <c r="W89" s="2530"/>
      <c r="X89" s="2530"/>
      <c r="Y89" s="2530"/>
      <c r="Z89" s="2530"/>
      <c r="AA89" s="2530"/>
      <c r="AB89" s="2530"/>
      <c r="AC89" s="2530"/>
      <c r="AD89" s="2530"/>
      <c r="AE89" s="2530"/>
      <c r="AF89" s="2530"/>
      <c r="AG89" s="2530"/>
      <c r="AH89" s="2530"/>
      <c r="AI89" s="2530"/>
      <c r="AJ89" s="2530"/>
      <c r="AK89" s="2530"/>
      <c r="AL89" s="2530"/>
      <c r="AM89" s="2530"/>
      <c r="AN89" s="2530"/>
      <c r="AO89" s="2530"/>
      <c r="AP89" s="2530"/>
      <c r="AQ89" s="2530"/>
      <c r="AR89" s="2530"/>
      <c r="AS89" s="2530"/>
      <c r="AT89" s="2530"/>
      <c r="AU89" s="2530"/>
      <c r="AV89" s="2530"/>
      <c r="AW89" s="2530"/>
      <c r="AX89" s="2530"/>
      <c r="AY89" s="2530"/>
      <c r="AZ89" s="2620"/>
      <c r="BA89" s="2256"/>
      <c r="BB89" s="2294"/>
      <c r="BC89" s="2294" t="str">
        <f t="shared" si="4"/>
        <v/>
      </c>
      <c r="BD89" s="2294"/>
      <c r="BE89" s="2294"/>
      <c r="BF89" s="2219">
        <v>0</v>
      </c>
    </row>
    <row r="90" spans="1:58" s="2979" customFormat="1" ht="14.25" customHeight="1">
      <c r="A90" s="2879"/>
      <c r="B90" s="2879"/>
      <c r="C90" s="2879"/>
      <c r="D90" s="2879"/>
      <c r="E90" s="3224"/>
      <c r="F90" s="3224" t="s">
        <v>104</v>
      </c>
      <c r="G90" s="3223"/>
      <c r="H90" s="2879"/>
      <c r="I90" s="2879"/>
      <c r="J90" s="2879"/>
      <c r="K90" s="2879"/>
      <c r="L90" s="2879"/>
      <c r="M90" s="2880"/>
      <c r="N90" s="2881"/>
      <c r="O90" s="2881"/>
      <c r="P90" s="2882"/>
      <c r="Q90" s="2408"/>
      <c r="R90" s="2409"/>
      <c r="S90" s="2408"/>
      <c r="T90" s="2408"/>
      <c r="U90" s="2410"/>
      <c r="V90" s="2411" t="s">
        <v>180</v>
      </c>
      <c r="W90" s="2248"/>
      <c r="X90" s="2248"/>
      <c r="Y90" s="2248"/>
      <c r="Z90" s="2248"/>
      <c r="AA90" s="2248"/>
      <c r="AB90" s="2248"/>
      <c r="AC90" s="2248"/>
      <c r="AD90" s="2248"/>
      <c r="AE90" s="2248"/>
      <c r="AF90" s="2248"/>
      <c r="AG90" s="2248"/>
      <c r="AH90" s="2248"/>
      <c r="AI90" s="2248"/>
      <c r="AJ90" s="2248"/>
      <c r="AK90" s="2248"/>
      <c r="AL90" s="2248"/>
      <c r="AM90" s="2248"/>
      <c r="AN90" s="2248"/>
      <c r="AO90" s="2248"/>
      <c r="AP90" s="2248"/>
      <c r="AQ90" s="2248"/>
      <c r="AR90" s="2248"/>
      <c r="AS90" s="2248"/>
      <c r="AT90" s="2248"/>
      <c r="AU90" s="2248"/>
      <c r="AV90" s="2248"/>
      <c r="AW90" s="2248"/>
      <c r="AX90" s="2248"/>
      <c r="AY90" s="2248"/>
      <c r="AZ90" s="2248"/>
      <c r="BA90" s="2256"/>
      <c r="BB90" s="2294"/>
      <c r="BC90" s="2294" t="str">
        <f t="shared" si="4"/>
        <v>Добавить источник для дифференциации</v>
      </c>
      <c r="BD90" s="2294"/>
      <c r="BE90" s="2294"/>
      <c r="BF90" s="2256">
        <v>0</v>
      </c>
    </row>
    <row r="91" spans="1:58" s="2980" customFormat="1" ht="14.25" customHeight="1">
      <c r="A91" s="2879"/>
      <c r="B91" s="2879"/>
      <c r="C91" s="2879"/>
      <c r="D91" s="2879"/>
      <c r="E91" s="3224"/>
      <c r="F91" s="3223" t="s">
        <v>104</v>
      </c>
      <c r="G91" s="2879"/>
      <c r="H91" s="2879"/>
      <c r="I91" s="2879"/>
      <c r="J91" s="2879"/>
      <c r="K91" s="2879"/>
      <c r="L91" s="2879"/>
      <c r="M91" s="2880"/>
      <c r="N91" s="2884"/>
      <c r="O91" s="2884"/>
      <c r="P91" s="2882"/>
      <c r="Q91" s="2408"/>
      <c r="R91" s="2409"/>
      <c r="S91" s="2408"/>
      <c r="T91" s="2408"/>
      <c r="U91" s="2414"/>
      <c r="V91" s="2415" t="s">
        <v>181</v>
      </c>
      <c r="W91" s="2249"/>
      <c r="X91" s="2249"/>
      <c r="Y91" s="2249"/>
      <c r="Z91" s="2249"/>
      <c r="AA91" s="2249"/>
      <c r="AB91" s="2249"/>
      <c r="AC91" s="2249"/>
      <c r="AD91" s="2249"/>
      <c r="AE91" s="2249"/>
      <c r="AF91" s="2249"/>
      <c r="AG91" s="2249"/>
      <c r="AH91" s="2249"/>
      <c r="AI91" s="2249"/>
      <c r="AJ91" s="2249"/>
      <c r="AK91" s="2249"/>
      <c r="AL91" s="2249"/>
      <c r="AM91" s="2249"/>
      <c r="AN91" s="2249"/>
      <c r="AO91" s="2249"/>
      <c r="AP91" s="2249"/>
      <c r="AQ91" s="2249"/>
      <c r="AR91" s="2249"/>
      <c r="AS91" s="2249"/>
      <c r="AT91" s="2249"/>
      <c r="AU91" s="2249"/>
      <c r="AV91" s="2249"/>
      <c r="AW91" s="2249"/>
      <c r="AX91" s="2249"/>
      <c r="AY91" s="2249"/>
      <c r="AZ91" s="2249"/>
      <c r="BA91" s="2256"/>
      <c r="BB91" s="2294"/>
      <c r="BC91" s="2294" t="str">
        <f t="shared" si="4"/>
        <v>Добавить централизованную систему для дифференциации</v>
      </c>
      <c r="BD91" s="2294"/>
      <c r="BE91" s="2294"/>
      <c r="BF91" s="2256">
        <v>0</v>
      </c>
    </row>
    <row r="92" spans="1:58" s="2017" customFormat="1" ht="0" hidden="1" customHeight="1">
      <c r="A92" s="1292" t="s">
        <v>204</v>
      </c>
      <c r="B92" s="1292"/>
      <c r="C92" s="1292"/>
      <c r="D92" s="1292"/>
      <c r="E92" s="3223"/>
      <c r="F92" s="1292"/>
      <c r="G92" s="1292"/>
      <c r="H92" s="1292"/>
      <c r="I92" s="1292"/>
      <c r="J92" s="1292"/>
      <c r="K92" s="1292"/>
      <c r="L92" s="1292"/>
      <c r="M92" s="1298"/>
      <c r="N92" s="1296"/>
      <c r="O92" s="1296"/>
      <c r="P92" s="285"/>
      <c r="Q92" s="314"/>
      <c r="R92" s="1261"/>
      <c r="S92" s="314"/>
      <c r="T92" s="314"/>
      <c r="U92" s="1239"/>
      <c r="V92" s="1242" t="s">
        <v>188</v>
      </c>
      <c r="W92" s="1241"/>
      <c r="X92" s="1241"/>
      <c r="Y92" s="1241"/>
      <c r="Z92" s="1241"/>
      <c r="AA92" s="1241"/>
      <c r="AB92" s="1241"/>
      <c r="AC92" s="1241"/>
      <c r="AD92" s="1241"/>
      <c r="AE92" s="1241"/>
      <c r="AF92" s="1241"/>
      <c r="AG92" s="1241"/>
      <c r="AH92" s="1241"/>
      <c r="AI92" s="1241"/>
      <c r="AJ92" s="1241"/>
      <c r="AK92" s="1241"/>
      <c r="AL92" s="1241"/>
      <c r="AM92" s="1241"/>
      <c r="AN92" s="1241"/>
      <c r="AO92" s="1241"/>
      <c r="AP92" s="2249"/>
      <c r="AQ92" s="2249"/>
      <c r="AR92" s="2249"/>
      <c r="AS92" s="2249"/>
      <c r="AT92" s="2249"/>
      <c r="AU92" s="2249"/>
      <c r="AV92" s="2249"/>
      <c r="AW92" s="2249"/>
      <c r="AX92" s="2249"/>
      <c r="AY92" s="1241"/>
      <c r="AZ92" s="1241"/>
      <c r="BB92" s="434"/>
      <c r="BC92" s="434" t="str">
        <f t="shared" si="4"/>
        <v>Добавить территорию для дифференциации</v>
      </c>
      <c r="BD92" s="434"/>
      <c r="BE92" s="434"/>
      <c r="BF92" s="445">
        <v>0</v>
      </c>
    </row>
    <row r="93" spans="1:58" s="2017" customFormat="1" ht="4.25" customHeight="1">
      <c r="A93" s="1291"/>
      <c r="B93" s="1291"/>
      <c r="C93" s="1291"/>
      <c r="D93" s="1291"/>
      <c r="E93" s="1292"/>
      <c r="F93" s="1291"/>
      <c r="G93" s="1291"/>
      <c r="H93" s="1291"/>
      <c r="I93" s="1291"/>
      <c r="J93" s="1291"/>
      <c r="K93" s="1291"/>
      <c r="L93" s="1291"/>
      <c r="M93" s="1294"/>
      <c r="N93" s="1296"/>
      <c r="O93" s="1296"/>
      <c r="P93" s="285"/>
      <c r="Q93" s="1233"/>
      <c r="R93" s="1234"/>
      <c r="S93" s="1233"/>
      <c r="T93" s="1233"/>
      <c r="U93" s="1239"/>
      <c r="V93" s="1242" t="s">
        <v>189</v>
      </c>
      <c r="W93" s="1241"/>
      <c r="X93" s="1241"/>
      <c r="Y93" s="1241"/>
      <c r="Z93" s="1241"/>
      <c r="AA93" s="1241"/>
      <c r="AB93" s="1241"/>
      <c r="AC93" s="1241"/>
      <c r="AD93" s="1241"/>
      <c r="AE93" s="1241"/>
      <c r="AF93" s="1241"/>
      <c r="AG93" s="1241"/>
      <c r="AH93" s="1241"/>
      <c r="AI93" s="1241"/>
      <c r="AJ93" s="1241"/>
      <c r="AK93" s="1241"/>
      <c r="AL93" s="1241"/>
      <c r="AM93" s="1241"/>
      <c r="AN93" s="1241"/>
      <c r="AO93" s="1241"/>
      <c r="AP93" s="2249"/>
      <c r="AQ93" s="2249"/>
      <c r="AR93" s="2249"/>
      <c r="AS93" s="2249"/>
      <c r="AT93" s="2249"/>
      <c r="AU93" s="2249"/>
      <c r="AV93" s="2249"/>
      <c r="AW93" s="2249"/>
      <c r="AX93" s="2249"/>
      <c r="AY93" s="1241"/>
      <c r="AZ93" s="1241"/>
      <c r="BB93" s="717"/>
      <c r="BC93" s="717" t="str">
        <f t="shared" si="4"/>
        <v>Добавить наименование тарифа</v>
      </c>
      <c r="BD93" s="717"/>
      <c r="BE93" s="717"/>
      <c r="BF93" s="452">
        <v>4</v>
      </c>
    </row>
    <row r="94" spans="1:58" ht="11.5" customHeight="1">
      <c r="N94" s="1072"/>
      <c r="O94" s="1072"/>
      <c r="P94" s="443"/>
      <c r="Q94" s="1072"/>
      <c r="R94" s="1072"/>
      <c r="S94" s="1072"/>
      <c r="T94" s="1072"/>
      <c r="U94" s="1072"/>
      <c r="AP94" s="2219"/>
      <c r="AQ94" s="2219"/>
      <c r="AR94" s="2219"/>
      <c r="AS94" s="2219"/>
      <c r="AT94" s="2219"/>
      <c r="AU94" s="2219"/>
      <c r="AV94" s="2219"/>
      <c r="AW94" s="2219"/>
      <c r="AX94" s="2219"/>
      <c r="BA94" s="1072"/>
      <c r="BB94" s="1072"/>
      <c r="BC94" s="1072"/>
      <c r="BD94" s="1072"/>
      <c r="BE94" s="1072"/>
      <c r="BF94" s="1072">
        <v>11</v>
      </c>
    </row>
    <row r="95" spans="1:58" ht="35.65" customHeight="1">
      <c r="P95" s="443"/>
      <c r="U95" s="1170"/>
      <c r="V95" s="3219"/>
      <c r="W95" s="3219"/>
      <c r="X95" s="3219"/>
      <c r="Y95" s="3219"/>
      <c r="Z95" s="3219"/>
      <c r="AA95" s="3219"/>
      <c r="AB95" s="3219"/>
      <c r="AC95" s="3219"/>
      <c r="AD95" s="3219"/>
      <c r="AE95" s="3219"/>
      <c r="AF95" s="3219"/>
      <c r="AG95" s="3219"/>
      <c r="AH95" s="3219"/>
      <c r="AI95" s="3219"/>
      <c r="AJ95" s="3219"/>
      <c r="AK95" s="3219"/>
      <c r="AL95" s="3219"/>
      <c r="AM95" s="3219"/>
      <c r="AN95" s="3219"/>
      <c r="AO95" s="3219"/>
      <c r="AP95" s="3219"/>
      <c r="AQ95" s="3219"/>
      <c r="AR95" s="3219"/>
      <c r="AS95" s="3219"/>
      <c r="AT95" s="3219"/>
      <c r="AU95" s="3219"/>
      <c r="AV95" s="3219"/>
      <c r="AW95" s="3219"/>
      <c r="AX95" s="3219"/>
      <c r="AY95" s="3219"/>
      <c r="AZ95" s="3219"/>
      <c r="BF95" s="1072">
        <v>34</v>
      </c>
    </row>
    <row r="96" spans="1:58" ht="21" customHeight="1">
      <c r="P96" s="443"/>
      <c r="V96" s="3219"/>
      <c r="W96" s="3219"/>
      <c r="X96" s="3219"/>
      <c r="Y96" s="3219"/>
      <c r="Z96" s="3219"/>
      <c r="AA96" s="3219"/>
      <c r="AB96" s="3219"/>
      <c r="AC96" s="3219"/>
      <c r="AD96" s="3219"/>
      <c r="AE96" s="3219"/>
      <c r="AF96" s="3219"/>
      <c r="AG96" s="3219"/>
      <c r="AH96" s="3219"/>
      <c r="AI96" s="3219"/>
      <c r="AJ96" s="3219"/>
      <c r="AK96" s="3219"/>
      <c r="AL96" s="3219"/>
      <c r="AM96" s="3219"/>
      <c r="AN96" s="3219"/>
      <c r="AO96" s="3219"/>
      <c r="AP96" s="3219"/>
      <c r="AQ96" s="3219"/>
      <c r="AR96" s="3219"/>
      <c r="AS96" s="3219"/>
      <c r="AT96" s="3219"/>
      <c r="AU96" s="3219"/>
      <c r="AV96" s="3219"/>
      <c r="AW96" s="3219"/>
      <c r="AX96" s="3219"/>
      <c r="AY96" s="3219"/>
      <c r="AZ96" s="3219"/>
      <c r="BF96" s="1072">
        <v>20</v>
      </c>
    </row>
    <row r="97" spans="1:58" ht="14.65" customHeight="1">
      <c r="P97" s="443"/>
      <c r="AP97" s="2219"/>
      <c r="AQ97" s="2219"/>
      <c r="AR97" s="2219"/>
      <c r="AS97" s="2219"/>
      <c r="AT97" s="2219"/>
      <c r="AU97" s="2219"/>
      <c r="AV97" s="2219"/>
      <c r="AW97" s="2219"/>
      <c r="AX97" s="2219"/>
      <c r="BF97" s="1072">
        <v>14</v>
      </c>
    </row>
    <row r="98" spans="1:58" ht="28.5" customHeight="1">
      <c r="P98" s="443"/>
      <c r="V98" s="3219"/>
      <c r="W98" s="3219"/>
      <c r="X98" s="3219"/>
      <c r="Y98" s="3219"/>
      <c r="Z98" s="3219"/>
      <c r="AA98" s="3219"/>
      <c r="AB98" s="3219"/>
      <c r="AC98" s="3219"/>
      <c r="AD98" s="3219"/>
      <c r="AE98" s="3219"/>
      <c r="AF98" s="3219"/>
      <c r="AG98" s="3219"/>
      <c r="AH98" s="3219"/>
      <c r="AI98" s="3219"/>
      <c r="AJ98" s="3219"/>
      <c r="AK98" s="3219"/>
      <c r="AL98" s="3219"/>
      <c r="AM98" s="3219"/>
      <c r="AN98" s="3219"/>
      <c r="AO98" s="3219"/>
      <c r="AP98" s="3219"/>
      <c r="AQ98" s="3219"/>
      <c r="AR98" s="3219"/>
      <c r="AS98" s="3219"/>
      <c r="AT98" s="3219"/>
      <c r="AU98" s="3219"/>
      <c r="AV98" s="3219"/>
      <c r="AW98" s="3219"/>
      <c r="AX98" s="3219"/>
      <c r="AY98" s="3219"/>
      <c r="AZ98" s="3219"/>
      <c r="BF98" s="1072">
        <v>27</v>
      </c>
    </row>
    <row r="99" spans="1:58" ht="18.75" customHeight="1">
      <c r="P99" s="443"/>
      <c r="V99" s="3219"/>
      <c r="W99" s="3219"/>
      <c r="X99" s="3219"/>
      <c r="Y99" s="3219"/>
      <c r="Z99" s="3219"/>
      <c r="AA99" s="3219"/>
      <c r="AB99" s="3219"/>
      <c r="AC99" s="3219"/>
      <c r="AD99" s="3219"/>
      <c r="AE99" s="3219"/>
      <c r="AF99" s="3219"/>
      <c r="AG99" s="3219"/>
      <c r="AH99" s="3219"/>
      <c r="AI99" s="3219"/>
      <c r="AJ99" s="3219"/>
      <c r="AK99" s="3219"/>
      <c r="AL99" s="3219"/>
      <c r="AM99" s="3219"/>
      <c r="AN99" s="3219"/>
      <c r="AO99" s="3219"/>
      <c r="AP99" s="3219"/>
      <c r="AQ99" s="3219"/>
      <c r="AR99" s="3219"/>
      <c r="AS99" s="3219"/>
      <c r="AT99" s="3219"/>
      <c r="AU99" s="3219"/>
      <c r="AV99" s="3219"/>
      <c r="AW99" s="3219"/>
      <c r="AX99" s="3219"/>
      <c r="AY99" s="3219"/>
      <c r="AZ99" s="3219"/>
      <c r="BF99" s="1072">
        <v>18</v>
      </c>
    </row>
    <row r="100" spans="1:58" ht="22.5" hidden="1" customHeight="1">
      <c r="A100" s="1072" t="s">
        <v>83</v>
      </c>
      <c r="B100" s="1072">
        <v>0</v>
      </c>
      <c r="C100" s="1072">
        <v>0</v>
      </c>
      <c r="D100" s="1072">
        <v>0</v>
      </c>
      <c r="E100" s="1072">
        <v>0</v>
      </c>
      <c r="F100" s="1072">
        <v>0</v>
      </c>
      <c r="G100" s="1072">
        <v>0</v>
      </c>
      <c r="H100" s="1072">
        <v>0</v>
      </c>
      <c r="I100" s="1072">
        <v>0</v>
      </c>
      <c r="J100" s="1072">
        <v>0</v>
      </c>
      <c r="K100" s="1072">
        <v>0</v>
      </c>
      <c r="L100" s="1072">
        <v>0</v>
      </c>
      <c r="M100" s="1244">
        <v>0</v>
      </c>
      <c r="N100" s="1245">
        <v>0</v>
      </c>
      <c r="O100" s="1245">
        <v>0</v>
      </c>
      <c r="P100" s="1245">
        <v>0</v>
      </c>
      <c r="Q100" s="1245">
        <v>0</v>
      </c>
      <c r="R100" s="279">
        <v>3</v>
      </c>
      <c r="S100" s="279">
        <v>3</v>
      </c>
      <c r="T100" s="279">
        <v>3</v>
      </c>
      <c r="U100" s="515">
        <v>12</v>
      </c>
      <c r="V100" s="1072">
        <v>31</v>
      </c>
      <c r="W100" s="1072">
        <v>0</v>
      </c>
      <c r="X100" s="1072">
        <v>0</v>
      </c>
      <c r="Y100" s="1072">
        <v>0</v>
      </c>
      <c r="Z100" s="1072">
        <v>0</v>
      </c>
      <c r="AA100" s="1072">
        <v>0</v>
      </c>
      <c r="AB100" s="1072">
        <v>0</v>
      </c>
      <c r="AC100" s="1072">
        <v>0</v>
      </c>
      <c r="AD100" s="1072">
        <v>0</v>
      </c>
      <c r="AE100" s="1072">
        <v>0</v>
      </c>
      <c r="AF100" s="1072">
        <v>0</v>
      </c>
      <c r="AG100" s="1072">
        <v>21</v>
      </c>
      <c r="AH100" s="1072">
        <v>21</v>
      </c>
      <c r="AI100" s="1072">
        <v>21</v>
      </c>
      <c r="AJ100" s="1072">
        <v>21</v>
      </c>
      <c r="AK100" s="1072">
        <v>21</v>
      </c>
      <c r="AL100" s="1072">
        <v>11</v>
      </c>
      <c r="AM100" s="1072">
        <v>3</v>
      </c>
      <c r="AN100" s="1072">
        <v>11</v>
      </c>
      <c r="AO100" s="1072">
        <v>8</v>
      </c>
      <c r="AP100" s="2219">
        <v>0</v>
      </c>
      <c r="AQ100" s="2219">
        <v>0</v>
      </c>
      <c r="AR100" s="2219">
        <v>0</v>
      </c>
      <c r="AS100" s="2219">
        <v>0</v>
      </c>
      <c r="AT100" s="2219">
        <v>0</v>
      </c>
      <c r="AU100" s="2219">
        <v>0</v>
      </c>
      <c r="AV100" s="2219">
        <v>0</v>
      </c>
      <c r="AW100" s="2219">
        <v>0</v>
      </c>
      <c r="AX100" s="2219">
        <v>0</v>
      </c>
      <c r="AY100" s="1072">
        <v>4</v>
      </c>
      <c r="AZ100" s="1072">
        <v>115</v>
      </c>
      <c r="BA100" s="445">
        <v>10</v>
      </c>
      <c r="BB100" s="445">
        <v>10</v>
      </c>
      <c r="BC100" s="445">
        <v>10</v>
      </c>
      <c r="BD100" s="445">
        <v>10</v>
      </c>
      <c r="BE100" s="445">
        <v>10</v>
      </c>
      <c r="BF100" s="1072">
        <v>23</v>
      </c>
    </row>
  </sheetData>
  <sheetProtection formatColumns="0" formatRows="0" insertRows="0" deleteColumns="0" deleteRows="0" sort="0" autoFilter="0"/>
  <mergeCells count="215">
    <mergeCell ref="V99:AZ99"/>
    <mergeCell ref="U39:V39"/>
    <mergeCell ref="X39:AE39"/>
    <mergeCell ref="AG39:AN39"/>
    <mergeCell ref="U38:V38"/>
    <mergeCell ref="X38:AE38"/>
    <mergeCell ref="AG38:AN38"/>
    <mergeCell ref="AL55:AL58"/>
    <mergeCell ref="AM55:AM58"/>
    <mergeCell ref="AN55:AN58"/>
    <mergeCell ref="AO55:AO58"/>
    <mergeCell ref="V98:AZ98"/>
    <mergeCell ref="AZ42:AZ47"/>
    <mergeCell ref="AZ56:AZ59"/>
    <mergeCell ref="V95:AZ95"/>
    <mergeCell ref="V96:AZ96"/>
    <mergeCell ref="Y44:AB44"/>
    <mergeCell ref="Y45:Y47"/>
    <mergeCell ref="Z45:AB45"/>
    <mergeCell ref="AA46:AB46"/>
    <mergeCell ref="Z46:Z47"/>
    <mergeCell ref="AC46:AC47"/>
    <mergeCell ref="AD46:AE47"/>
    <mergeCell ref="AC44:AE45"/>
    <mergeCell ref="AH44:AK44"/>
    <mergeCell ref="AL44:AN45"/>
    <mergeCell ref="AH45:AH47"/>
    <mergeCell ref="X53:AF53"/>
    <mergeCell ref="AG53:AY53"/>
    <mergeCell ref="AI45:AK45"/>
    <mergeCell ref="AI46:AI47"/>
    <mergeCell ref="AJ46:AK46"/>
    <mergeCell ref="AL46:AL47"/>
    <mergeCell ref="AM46:AN47"/>
    <mergeCell ref="AY43:AY47"/>
    <mergeCell ref="X44:X47"/>
    <mergeCell ref="AG44:AG47"/>
    <mergeCell ref="AC55:AC58"/>
    <mergeCell ref="AE55:AE58"/>
    <mergeCell ref="AD55:AD58"/>
    <mergeCell ref="E49:E92"/>
    <mergeCell ref="X49:AF49"/>
    <mergeCell ref="AG49:AY49"/>
    <mergeCell ref="F50:F63"/>
    <mergeCell ref="X50:AF50"/>
    <mergeCell ref="AG50:AY50"/>
    <mergeCell ref="G51:G62"/>
    <mergeCell ref="X51:AF51"/>
    <mergeCell ref="AG51:AY51"/>
    <mergeCell ref="H52:H61"/>
    <mergeCell ref="X52:AF52"/>
    <mergeCell ref="AG52:AY52"/>
    <mergeCell ref="I53:I60"/>
    <mergeCell ref="Q53:Q60"/>
    <mergeCell ref="L56:L57"/>
    <mergeCell ref="AF55:AF58"/>
    <mergeCell ref="F64:F77"/>
    <mergeCell ref="X64:AF64"/>
    <mergeCell ref="AG64:AY64"/>
    <mergeCell ref="G65:G76"/>
    <mergeCell ref="X65:AF65"/>
    <mergeCell ref="U36:V36"/>
    <mergeCell ref="X36:AE36"/>
    <mergeCell ref="AG36:AN36"/>
    <mergeCell ref="X33:AE33"/>
    <mergeCell ref="AG33:AN33"/>
    <mergeCell ref="U34:V34"/>
    <mergeCell ref="X34:AE34"/>
    <mergeCell ref="AG34:AN34"/>
    <mergeCell ref="J54:J59"/>
    <mergeCell ref="R54:R59"/>
    <mergeCell ref="X54:AF54"/>
    <mergeCell ref="AG54:AY54"/>
    <mergeCell ref="K55:K58"/>
    <mergeCell ref="AD48:AE48"/>
    <mergeCell ref="AM48:AN48"/>
    <mergeCell ref="X41:AF41"/>
    <mergeCell ref="AG41:AO41"/>
    <mergeCell ref="U42:AY42"/>
    <mergeCell ref="U43:U47"/>
    <mergeCell ref="V43:V47"/>
    <mergeCell ref="X43:AE43"/>
    <mergeCell ref="AF43:AF47"/>
    <mergeCell ref="AG43:AN43"/>
    <mergeCell ref="AO43:AO47"/>
    <mergeCell ref="AZ9:AZ12"/>
    <mergeCell ref="J7:J12"/>
    <mergeCell ref="R7:R12"/>
    <mergeCell ref="X7:AF7"/>
    <mergeCell ref="AG7:AY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Y2"/>
    <mergeCell ref="F3:F16"/>
    <mergeCell ref="X3:AF3"/>
    <mergeCell ref="AG3:AY3"/>
    <mergeCell ref="G4:G15"/>
    <mergeCell ref="X4:AF4"/>
    <mergeCell ref="AG4:AY4"/>
    <mergeCell ref="H5:H14"/>
    <mergeCell ref="X5:AF5"/>
    <mergeCell ref="AG5:AY5"/>
    <mergeCell ref="I6:I13"/>
    <mergeCell ref="Q6:Q13"/>
    <mergeCell ref="X6:AF6"/>
    <mergeCell ref="AG6:AY6"/>
    <mergeCell ref="AU8:AU11"/>
    <mergeCell ref="AV8:AV11"/>
    <mergeCell ref="AW8:AW11"/>
    <mergeCell ref="AX8:AX11"/>
    <mergeCell ref="J68:J73"/>
    <mergeCell ref="R68:R73"/>
    <mergeCell ref="X68:AF68"/>
    <mergeCell ref="AG68:AY68"/>
    <mergeCell ref="S69:S72"/>
    <mergeCell ref="K69:K72"/>
    <mergeCell ref="L70:L71"/>
    <mergeCell ref="AC69:AC72"/>
    <mergeCell ref="AE69:AE72"/>
    <mergeCell ref="AD69:AD72"/>
    <mergeCell ref="AF69:AF72"/>
    <mergeCell ref="AL69:AL72"/>
    <mergeCell ref="AM69:AM72"/>
    <mergeCell ref="AN69:AN72"/>
    <mergeCell ref="AO69:AO72"/>
    <mergeCell ref="H66:H75"/>
    <mergeCell ref="X66:AF66"/>
    <mergeCell ref="AG66:AY66"/>
    <mergeCell ref="I67:I74"/>
    <mergeCell ref="Q67:Q74"/>
    <mergeCell ref="X67:AF67"/>
    <mergeCell ref="AG67:AY67"/>
    <mergeCell ref="AZ84:AZ87"/>
    <mergeCell ref="J82:J87"/>
    <mergeCell ref="R82:R87"/>
    <mergeCell ref="X82:AF82"/>
    <mergeCell ref="AG82:AY82"/>
    <mergeCell ref="S83:S86"/>
    <mergeCell ref="K83:K86"/>
    <mergeCell ref="L84:L85"/>
    <mergeCell ref="AC83:AC86"/>
    <mergeCell ref="AE83:AE86"/>
    <mergeCell ref="AD83:AD86"/>
    <mergeCell ref="AF83:AF86"/>
    <mergeCell ref="AL83:AL86"/>
    <mergeCell ref="AM83:AM86"/>
    <mergeCell ref="AN83:AN86"/>
    <mergeCell ref="AO83:AO86"/>
    <mergeCell ref="AZ70:AZ73"/>
    <mergeCell ref="F78:F91"/>
    <mergeCell ref="X78:AF78"/>
    <mergeCell ref="AG78:AY78"/>
    <mergeCell ref="G79:G90"/>
    <mergeCell ref="X79:AF79"/>
    <mergeCell ref="AG79:AY79"/>
    <mergeCell ref="H80:H89"/>
    <mergeCell ref="X80:AF80"/>
    <mergeCell ref="AG80:AY80"/>
    <mergeCell ref="I81:I88"/>
    <mergeCell ref="Q81:Q88"/>
    <mergeCell ref="X81:AF81"/>
    <mergeCell ref="AG81:AY81"/>
    <mergeCell ref="AP33:AW33"/>
    <mergeCell ref="AP34:AW34"/>
    <mergeCell ref="AP35:AW35"/>
    <mergeCell ref="AP36:AW36"/>
    <mergeCell ref="AP41:AX41"/>
    <mergeCell ref="AP43:AW43"/>
    <mergeCell ref="AX43:AX47"/>
    <mergeCell ref="AP44:AP47"/>
    <mergeCell ref="AV48:AW48"/>
    <mergeCell ref="AP39:AW39"/>
    <mergeCell ref="AP38:AW38"/>
    <mergeCell ref="AQ44:AT44"/>
    <mergeCell ref="AQ45:AQ47"/>
    <mergeCell ref="AR45:AT45"/>
    <mergeCell ref="AS46:AT46"/>
    <mergeCell ref="AR46:AR47"/>
    <mergeCell ref="AU46:AU47"/>
    <mergeCell ref="AV46:AW47"/>
    <mergeCell ref="AU44:AW45"/>
    <mergeCell ref="AU55:AU58"/>
    <mergeCell ref="AV55:AV58"/>
    <mergeCell ref="AW55:AW58"/>
    <mergeCell ref="AX55:AX58"/>
    <mergeCell ref="AU69:AU72"/>
    <mergeCell ref="AV69:AV72"/>
    <mergeCell ref="AW69:AW72"/>
    <mergeCell ref="AX69:AX72"/>
    <mergeCell ref="AU83:AU86"/>
    <mergeCell ref="AV83:AV86"/>
    <mergeCell ref="AW83:AW86"/>
    <mergeCell ref="AX83:AX86"/>
    <mergeCell ref="AG65:AY65"/>
  </mergeCells>
  <dataValidations count="8">
    <dataValidation allowBlank="1" showInputMessage="1" showErrorMessage="1" prompt="Для выбора выполните двойной щелчок левой клавиши мыши по соответствующей ячейке." sqref="AD65620 AD131156 AD196692 AD262228 AD327764 AD393300 AD458836 AD524372 AD589908 AD655444 AD720980 AD786516 AD852052 AD917588 AD983124 AF131156 AF458836 AF196692 AF262228 AF327764 AF393300 AF524372 AF589908 AF655444 AF720980 AF786516 AF852052 AF917588 AF983124 AF65620 AM65620 AM131156 AM196692 AM262228 AM327764 AM393300 AM458836 AM524372 AM589908 AM655444 AM720980 AM786516 AM852052 AM917588 AM983124 AO393300:AX393300 AO327764:AX327764 AO524372:AX524372 AO55 AV55 AX55 AO589908:AX589908 AO655444:AX655444 AO19:AO21 AO720980:AX720980 AO786516:AX786516 AO852052:AX852052 AO917588:AX917588 AO983124:AX983124 AO65620:AX65620 AO131156:AX131156 AO458836:AX458836 AF55 AO196692:AX196692 AF8 AD8 AM55 AM19:AM21 AO262228:AX262228 AD55 AO8 AV8 AX8 AM8 AD69 AF69 AM69 AO69 AV69 AX69 AD83 AF83 AM83 AO83 AV83 AX83" xr:uid="{00000000-0002-0000-1200-000000000000}"/>
    <dataValidation allowBlank="1" promptTitle="checkPeriodRange" sqref="AB65621 AB131157 AB196693 AB262229 AB327765 AB393301 AB458837 AB524373 AB589909 AB655445 AB720981 AB786517 AB852053 AB917589 AB983125 AB10:AB11 AK65621 AK131157 AK196693 AK262229 AK327765 AK393301 AK458837 AK524373 AK589909 AK655445 AK720981 AK786517 AK852053 AK917589 AK983125 AK10:AK11 AK57 AK22 AB57 AB71 AK71 AB72 AK72 AB85 AK85 AB86 AK86 AT10 AT11 AT57 AT71 AT72 AT85 AT86" xr:uid="{00000000-0002-0000-12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620 AC131156 AC196692 AC262228 AC327764 AC393300 AC458836 AC524372 AC589908 AC655444 AC720980 AC786516 AC852052 AC917588 AC983124 AE65620 AE131156 AE196692 AE262228 AE327764 AE393300 AE458836 AE524372 AE589908 AE655444 AE720980 AE786516 AE852052 AE917588 AE983124 AN55 AL65620 AL131156 AL196692 AL262228 AL327764 AL393300 AL458836 AL524372 AL589908 AL655444 AL720980 AL786516 AL852052 AL917588 AL983124 AN65620 AN131156 AN196692 AN262228 AN327764 AN393300 AN458836 AN524372 AN589908 AN655444 AN720980 AN786516 AN852052 AN917588 AN983124 AC55 AE55 AL55 AE8 AC8 AL19:AL21 AN19:AN21 AN8 AL8 AC69 AE69 AL69 AN69 AC83 AE83 AL83 AN83 AU8 AW8 AU55 AW55 AU69 AW69 AU83 AW83" xr:uid="{00000000-0002-0000-1200-000002000000}"/>
    <dataValidation type="textLength" operator="lessThanOrEqual" allowBlank="1" showInputMessage="1" showErrorMessage="1" errorTitle="Ошибка" error="Допускается ввод не более 900 символов!" sqref="AZ65614:AZ65621 AZ131150:AZ131157 AZ196686:AZ196693 AZ262222:AZ262229 AZ327758:AZ327765 AZ393294:AZ393301 AZ458830:AZ458837 AZ524366:AZ524373 AZ589902:AZ589909 AZ655438:AZ655445 AZ720974:AZ720981 AZ786510:AZ786517 AZ852046:AZ852053 AZ917582:AZ917589 AZ983118:AZ983125" xr:uid="{00000000-0002-0000-1200-000003000000}">
      <formula1>900</formula1>
    </dataValidation>
    <dataValidation allowBlank="1" sqref="U131158:AZ131164 U196694:AZ196700 U262230:AZ262236 U327766:AZ327772 U393302:AZ393308 U458838:AZ458844 U524374:AZ524380 U589910:AZ589916 U655446:AZ655452 U720982:AZ720988 U786518:AZ786524 U852054:AZ852060 U917590:AZ917596 U983126:AZ983132 U65622:AZ65628" xr:uid="{00000000-0002-0000-1200-000004000000}"/>
    <dataValidation type="list" allowBlank="1" showInputMessage="1" errorTitle="Ошибка" error="Выберите значение из списка" prompt="Выберите значение из списка" sqref="X983123:AY983123 X65619:AY65619 X131155:AY131155 X196691:AY196691 X262227:AY262227 X327763:AY327763 X393299:AY393299 X458835:AY458835 X524371:AY524371 X589907:AY589907 X655443:AY655443 X720979:AY720979 X786515:AY786515 X852051:AY852051 X917587:AY917587" xr:uid="{00000000-0002-0000-1200-000005000000}">
      <formula1>kind_of_cons</formula1>
    </dataValidation>
    <dataValidation type="list" allowBlank="1" showInputMessage="1" showErrorMessage="1" errorTitle="Ошибка" error="Выберите значение из списка" sqref="X983122:Z983122 X65618:Z65618 X131154:Z131154 X196690:Z196690 X262226:Z262226 X327762:Z327762 X393298:Z393298 X458834:Z458834 X524370:Z524370 X589906:Z589906 X655442:Z655442 X720978:Z720978 X786514:Z786514 X852050:Z852050 X917586:Z917586 AG983122:AI983122 AG65618:AI65618 AG131154:AI131154 AG196690:AI196690 AG262226:AI262226 AG327762:AI327762 AG393298:AI393298 AG458834:AI458834 AG524370:AI524370 AG589906:AI589906 AG655442:AI655442 AG720978:AI720978 AG786514:AI786514 AG852050:AI852050 AG917586:AI917586" xr:uid="{00000000-0002-0000-1200-000006000000}">
      <formula1>kind_of_scheme_in</formula1>
    </dataValidation>
    <dataValidation type="list" allowBlank="1" showInputMessage="1" showErrorMessage="1" errorTitle="Ошибка" error="Выберите значение из списка" sqref="V65620 V131156 V196692 V262228 V327764 V393300 V458836 V524372 V589908 V655444 V720980 V786516 V852052 V917588 V983124" xr:uid="{00000000-0002-0000-1200-000007000000}">
      <formula1>kind_of_heat_transfer</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35EFF6-B6CF-E9AF-69FD-429A5A9C444E}">
  <sheetPr>
    <tabColor theme="6" tint="0.39997558519241921"/>
  </sheetPr>
  <dimension ref="A1:BA70"/>
  <sheetViews>
    <sheetView showGridLines="0" topLeftCell="P26" zoomScale="90" workbookViewId="0"/>
  </sheetViews>
  <sheetFormatPr defaultColWidth="10.59765625" defaultRowHeight="14.25" customHeight="1"/>
  <cols>
    <col min="1" max="1" width="10.59765625" style="2016" hidden="1"/>
    <col min="2" max="2" width="11" style="2016" hidden="1" customWidth="1"/>
    <col min="3" max="3" width="10.59765625" style="2016" hidden="1"/>
    <col min="4" max="4" width="11.796875" style="2016" hidden="1" customWidth="1"/>
    <col min="5" max="5" width="10" style="2016" hidden="1" customWidth="1"/>
    <col min="6" max="6" width="8.69921875" style="2016" hidden="1" customWidth="1"/>
    <col min="7" max="7" width="7.59765625" style="2016" hidden="1" customWidth="1"/>
    <col min="8" max="8" width="11.3984375" style="2016" hidden="1" customWidth="1"/>
    <col min="9" max="9" width="12" style="2016" hidden="1" customWidth="1"/>
    <col min="10" max="10" width="9.796875" style="2016" hidden="1" customWidth="1"/>
    <col min="11" max="11" width="11.3984375" style="2016" hidden="1" customWidth="1"/>
    <col min="12" max="12" width="19.09765625" style="2216" hidden="1" customWidth="1"/>
    <col min="13" max="14" width="12.296875" style="2006" hidden="1" customWidth="1"/>
    <col min="15" max="15" width="23.3984375" style="2006" hidden="1" customWidth="1"/>
    <col min="16" max="16" width="3" style="2006" customWidth="1"/>
    <col min="17" max="17" width="3" style="2214" customWidth="1"/>
    <col min="18" max="18" width="3" style="2215" customWidth="1"/>
    <col min="19" max="19" width="12" style="2218" customWidth="1"/>
    <col min="20" max="20" width="31" style="2004" customWidth="1"/>
    <col min="21" max="21" width="9.765625E-2" style="2004" customWidth="1"/>
    <col min="22" max="23" width="21.69921875" style="2004" hidden="1" customWidth="1"/>
    <col min="24" max="24" width="11.69921875" style="2004" hidden="1" customWidth="1"/>
    <col min="25" max="25" width="3.69921875" style="2004" hidden="1" customWidth="1"/>
    <col min="26" max="26" width="11.69921875" style="2004" hidden="1" customWidth="1"/>
    <col min="27" max="27" width="8.59765625" style="2004" hidden="1" customWidth="1"/>
    <col min="28" max="28" width="5.3984375" style="2004" customWidth="1"/>
    <col min="29" max="30" width="3" style="2004" customWidth="1"/>
    <col min="31" max="31" width="24" style="2004" customWidth="1"/>
    <col min="32" max="32" width="3.69921875" style="2004" customWidth="1"/>
    <col min="33" max="34" width="3" style="2004" customWidth="1"/>
    <col min="35" max="35" width="24" style="2004" customWidth="1"/>
    <col min="36" max="36" width="3.69921875" style="2004" customWidth="1"/>
    <col min="37" max="38" width="3" style="2004" customWidth="1"/>
    <col min="39" max="39" width="18" style="2004" customWidth="1"/>
    <col min="40" max="41" width="21" style="2004" customWidth="1"/>
    <col min="42" max="42" width="11" style="2004" customWidth="1"/>
    <col min="43" max="43" width="3.69921875" style="2004" customWidth="1"/>
    <col min="44" max="44" width="11" style="2004" customWidth="1"/>
    <col min="45" max="45" width="8.59765625" style="2004" hidden="1" customWidth="1"/>
    <col min="46" max="46" width="4" style="2004" customWidth="1"/>
    <col min="47" max="47" width="115" style="2004" customWidth="1"/>
    <col min="48" max="52" width="10" style="2017" customWidth="1"/>
    <col min="53" max="53" width="10.59765625" style="2004" hidden="1"/>
  </cols>
  <sheetData>
    <row r="1" spans="1:53" ht="22.5" hidden="1" customHeight="1">
      <c r="W1" s="262"/>
      <c r="X1" s="262"/>
      <c r="AO1" s="262"/>
      <c r="AP1" s="262"/>
      <c r="BA1" s="1072" t="s">
        <v>14</v>
      </c>
    </row>
    <row r="2" spans="1:53" ht="21" hidden="1" customHeight="1">
      <c r="A2" s="1280"/>
      <c r="B2" s="1280"/>
      <c r="C2" s="1280"/>
      <c r="D2" s="1280"/>
      <c r="E2" s="3199">
        <v>1</v>
      </c>
      <c r="F2" s="1280"/>
      <c r="G2" s="1280"/>
      <c r="H2" s="1280"/>
      <c r="I2" s="1280"/>
      <c r="J2" s="1280"/>
      <c r="K2" s="1280"/>
      <c r="L2" s="1281"/>
      <c r="M2" s="1282"/>
      <c r="N2" s="1282"/>
      <c r="O2" s="1282"/>
      <c r="P2" s="1326"/>
      <c r="Q2" s="797"/>
      <c r="R2" s="289"/>
      <c r="S2" s="1253" t="e">
        <f>INDEX(PT_DIFFERENTIATION_NUM_NTAR,MATCH(A2,PT_DIFFERENTIATION_NTAR_ID,0))</f>
        <v>#N/A</v>
      </c>
      <c r="T2" s="233" t="s">
        <v>137</v>
      </c>
      <c r="U2" s="235"/>
      <c r="V2" s="3186"/>
      <c r="W2" s="3186"/>
      <c r="X2" s="3186"/>
      <c r="Y2" s="3186"/>
      <c r="Z2" s="3186"/>
      <c r="AA2" s="3187"/>
      <c r="AB2" s="3185" t="e">
        <f>INDEX(PT_DIFFERENTIATION_NTAR,MATCH(A2,PT_DIFFERENTIATION_NTAR_ID,0))</f>
        <v>#N/A</v>
      </c>
      <c r="AC2" s="3186"/>
      <c r="AD2" s="3186"/>
      <c r="AE2" s="3186"/>
      <c r="AF2" s="3186"/>
      <c r="AG2" s="3186"/>
      <c r="AH2" s="3186"/>
      <c r="AI2" s="3186"/>
      <c r="AJ2" s="3186"/>
      <c r="AK2" s="3186"/>
      <c r="AL2" s="3186"/>
      <c r="AM2" s="3186"/>
      <c r="AN2" s="3186"/>
      <c r="AO2" s="3186"/>
      <c r="AP2" s="3186"/>
      <c r="AQ2" s="3186"/>
      <c r="AR2" s="3186"/>
      <c r="AS2" s="3186"/>
      <c r="AT2" s="3187"/>
      <c r="AU2" s="1175" t="s">
        <v>431</v>
      </c>
      <c r="AW2" s="434"/>
      <c r="AX2" s="434" t="str">
        <f t="shared" ref="AX2:AX8" si="0">IF(T2="","",T2)</f>
        <v>Наименование тарифа</v>
      </c>
      <c r="AY2" s="434"/>
      <c r="AZ2" s="434"/>
      <c r="BA2" s="1072">
        <v>0</v>
      </c>
    </row>
    <row r="3" spans="1:53" ht="21" hidden="1" customHeight="1">
      <c r="A3" s="1280"/>
      <c r="B3" s="1280"/>
      <c r="C3" s="1280"/>
      <c r="D3" s="1280"/>
      <c r="E3" s="3200"/>
      <c r="F3" s="3199">
        <v>1</v>
      </c>
      <c r="G3" s="1280"/>
      <c r="H3" s="1280"/>
      <c r="I3" s="1280"/>
      <c r="J3" s="1280"/>
      <c r="K3" s="1280"/>
      <c r="L3" s="1281"/>
      <c r="M3" s="1282"/>
      <c r="N3" s="1282"/>
      <c r="O3" s="1282"/>
      <c r="P3" s="1327"/>
      <c r="Q3" s="1328"/>
      <c r="R3" s="287"/>
      <c r="S3" s="1253" t="e">
        <f>INDEX(PT_DIFFERENTIATION_NUM_TER,MATCH(B3,PT_DIFFERENTIATION_TER_ID,0))</f>
        <v>#N/A</v>
      </c>
      <c r="T3" s="243" t="s">
        <v>432</v>
      </c>
      <c r="U3" s="235"/>
      <c r="V3" s="3186"/>
      <c r="W3" s="3186"/>
      <c r="X3" s="3186"/>
      <c r="Y3" s="3186"/>
      <c r="Z3" s="3186"/>
      <c r="AA3" s="3187"/>
      <c r="AB3" s="3185" t="e">
        <f>INDEX(PT_DIFFERENTIATION_TER,MATCH(B3,PT_DIFFERENTIATION_TER_ID,0))</f>
        <v>#N/A</v>
      </c>
      <c r="AC3" s="3186"/>
      <c r="AD3" s="3186"/>
      <c r="AE3" s="3186"/>
      <c r="AF3" s="3186"/>
      <c r="AG3" s="3186"/>
      <c r="AH3" s="3186"/>
      <c r="AI3" s="3186"/>
      <c r="AJ3" s="3186"/>
      <c r="AK3" s="3186"/>
      <c r="AL3" s="3186"/>
      <c r="AM3" s="3186"/>
      <c r="AN3" s="3186"/>
      <c r="AO3" s="3186"/>
      <c r="AP3" s="3186"/>
      <c r="AQ3" s="3186"/>
      <c r="AR3" s="3186"/>
      <c r="AS3" s="3186"/>
      <c r="AT3" s="3187"/>
      <c r="AU3" s="1175" t="s">
        <v>433</v>
      </c>
      <c r="AW3" s="434"/>
      <c r="AX3" s="434" t="str">
        <f t="shared" si="0"/>
        <v>Территория действия тарифа</v>
      </c>
      <c r="AY3" s="434"/>
      <c r="AZ3" s="434"/>
      <c r="BA3" s="1072">
        <v>0</v>
      </c>
    </row>
    <row r="4" spans="1:53" ht="22.5" hidden="1" customHeight="1">
      <c r="A4" s="1280"/>
      <c r="B4" s="1280"/>
      <c r="C4" s="1280"/>
      <c r="D4" s="1280"/>
      <c r="E4" s="3200"/>
      <c r="F4" s="3200"/>
      <c r="G4" s="3199">
        <v>1</v>
      </c>
      <c r="H4" s="1280"/>
      <c r="I4" s="1280"/>
      <c r="J4" s="1280"/>
      <c r="K4" s="1280"/>
      <c r="L4" s="1281"/>
      <c r="M4" s="1282"/>
      <c r="N4" s="1282"/>
      <c r="O4" s="1282"/>
      <c r="P4" s="1329"/>
      <c r="Q4" s="1328"/>
      <c r="R4" s="287"/>
      <c r="S4" s="1253" t="e">
        <f>INDEX(PT_DIFFERENTIATION_NUM_CS,MATCH(C4,PT_DIFFERENTIATION_CS_ID,0))</f>
        <v>#N/A</v>
      </c>
      <c r="T4" s="244" t="s">
        <v>434</v>
      </c>
      <c r="U4" s="235"/>
      <c r="V4" s="3186"/>
      <c r="W4" s="3186"/>
      <c r="X4" s="3186"/>
      <c r="Y4" s="3186"/>
      <c r="Z4" s="3186"/>
      <c r="AA4" s="3187"/>
      <c r="AB4" s="3185" t="e">
        <f>INDEX(PT_DIFFERENTIATION_CS,MATCH(C4,PT_DIFFERENTIATION_CS_ID,0))</f>
        <v>#N/A</v>
      </c>
      <c r="AC4" s="3186"/>
      <c r="AD4" s="3186"/>
      <c r="AE4" s="3186"/>
      <c r="AF4" s="3186"/>
      <c r="AG4" s="3186"/>
      <c r="AH4" s="3186"/>
      <c r="AI4" s="3186"/>
      <c r="AJ4" s="3186"/>
      <c r="AK4" s="3186"/>
      <c r="AL4" s="3186"/>
      <c r="AM4" s="3186"/>
      <c r="AN4" s="3186"/>
      <c r="AO4" s="3186"/>
      <c r="AP4" s="3186"/>
      <c r="AQ4" s="3186"/>
      <c r="AR4" s="3186"/>
      <c r="AS4" s="3186"/>
      <c r="AT4" s="3187"/>
      <c r="AU4" s="1175" t="s">
        <v>435</v>
      </c>
      <c r="AW4" s="434"/>
      <c r="AX4" s="434" t="str">
        <f t="shared" si="0"/>
        <v xml:space="preserve">Наименование системы теплоснабжения </v>
      </c>
      <c r="AY4" s="434"/>
      <c r="AZ4" s="434"/>
      <c r="BA4" s="1072">
        <v>0</v>
      </c>
    </row>
    <row r="5" spans="1:53" ht="21" hidden="1" customHeight="1">
      <c r="A5" s="1280"/>
      <c r="B5" s="1280"/>
      <c r="C5" s="1280"/>
      <c r="D5" s="1280"/>
      <c r="E5" s="3200"/>
      <c r="F5" s="3200"/>
      <c r="G5" s="3200"/>
      <c r="H5" s="3199">
        <v>1</v>
      </c>
      <c r="I5" s="1280"/>
      <c r="J5" s="1280"/>
      <c r="K5" s="1280"/>
      <c r="L5" s="1281"/>
      <c r="M5" s="1282"/>
      <c r="N5" s="1282"/>
      <c r="O5" s="1282"/>
      <c r="P5" s="1329"/>
      <c r="Q5" s="1328"/>
      <c r="R5" s="287"/>
      <c r="S5" s="1253" t="e">
        <f>INDEX(PT_DIFFERENTIATION_NUM_IST_TE,MATCH(D5,PT_DIFFERENTIATION_IST_TE_ID,0))</f>
        <v>#N/A</v>
      </c>
      <c r="T5" s="245" t="s">
        <v>436</v>
      </c>
      <c r="U5" s="235"/>
      <c r="V5" s="3186"/>
      <c r="W5" s="3186"/>
      <c r="X5" s="3186"/>
      <c r="Y5" s="3186"/>
      <c r="Z5" s="3186"/>
      <c r="AA5" s="3187"/>
      <c r="AB5" s="3185" t="e">
        <f>INDEX(PT_DIFFERENTIATION_IST_TE,MATCH(D5,PT_DIFFERENTIATION_IST_TE_ID,0))</f>
        <v>#N/A</v>
      </c>
      <c r="AC5" s="3186"/>
      <c r="AD5" s="3186"/>
      <c r="AE5" s="3186"/>
      <c r="AF5" s="3186"/>
      <c r="AG5" s="3186"/>
      <c r="AH5" s="3186"/>
      <c r="AI5" s="3186"/>
      <c r="AJ5" s="3186"/>
      <c r="AK5" s="3186"/>
      <c r="AL5" s="3186"/>
      <c r="AM5" s="3186"/>
      <c r="AN5" s="3186"/>
      <c r="AO5" s="3186"/>
      <c r="AP5" s="3186"/>
      <c r="AQ5" s="3186"/>
      <c r="AR5" s="3186"/>
      <c r="AS5" s="3186"/>
      <c r="AT5" s="3187"/>
      <c r="AU5" s="1175" t="s">
        <v>437</v>
      </c>
      <c r="AW5" s="434"/>
      <c r="AX5" s="434" t="str">
        <f t="shared" si="0"/>
        <v xml:space="preserve">Источник тепловой энергии  </v>
      </c>
      <c r="AY5" s="434"/>
      <c r="AZ5" s="434"/>
      <c r="BA5" s="1072">
        <v>0</v>
      </c>
    </row>
    <row r="6" spans="1:53" s="2017" customFormat="1" ht="0.75" hidden="1" customHeight="1">
      <c r="A6" s="1260"/>
      <c r="B6" s="1260"/>
      <c r="C6" s="1260"/>
      <c r="D6" s="1260"/>
      <c r="E6" s="3200"/>
      <c r="F6" s="3200"/>
      <c r="G6" s="3200"/>
      <c r="H6" s="3200"/>
      <c r="I6" s="3197" t="e">
        <f>S5&amp;".1"</f>
        <v>#N/A</v>
      </c>
      <c r="J6" s="1260"/>
      <c r="K6" s="1260"/>
      <c r="L6" s="1263" t="s">
        <v>438</v>
      </c>
      <c r="M6" s="444"/>
      <c r="N6" s="444"/>
      <c r="O6" s="444"/>
      <c r="P6" s="3198">
        <v>1</v>
      </c>
      <c r="Q6" s="1248"/>
      <c r="R6" s="290"/>
      <c r="S6" s="963"/>
      <c r="T6" s="1300"/>
      <c r="U6" s="1301"/>
      <c r="V6" s="3229"/>
      <c r="W6" s="3229"/>
      <c r="X6" s="3229"/>
      <c r="Y6" s="3229"/>
      <c r="Z6" s="3229"/>
      <c r="AA6" s="3230"/>
      <c r="AB6" s="3228"/>
      <c r="AC6" s="3229"/>
      <c r="AD6" s="3229"/>
      <c r="AE6" s="3229"/>
      <c r="AF6" s="3229"/>
      <c r="AG6" s="3229"/>
      <c r="AH6" s="3229"/>
      <c r="AI6" s="3229"/>
      <c r="AJ6" s="3229"/>
      <c r="AK6" s="3229"/>
      <c r="AL6" s="3229"/>
      <c r="AM6" s="3229"/>
      <c r="AN6" s="3229"/>
      <c r="AO6" s="3229"/>
      <c r="AP6" s="3229"/>
      <c r="AQ6" s="3229"/>
      <c r="AR6" s="3229"/>
      <c r="AS6" s="3229"/>
      <c r="AT6" s="3230"/>
      <c r="AU6" s="1302"/>
      <c r="AW6" s="434"/>
      <c r="AX6" s="434" t="str">
        <f t="shared" si="0"/>
        <v/>
      </c>
      <c r="AY6" s="434"/>
      <c r="AZ6" s="434"/>
      <c r="BA6" s="445">
        <v>0</v>
      </c>
    </row>
    <row r="7" spans="1:53" s="2017" customFormat="1" ht="0.75" hidden="1" customHeight="1">
      <c r="A7" s="1260"/>
      <c r="B7" s="1260"/>
      <c r="C7" s="1260"/>
      <c r="D7" s="1260"/>
      <c r="E7" s="3200"/>
      <c r="F7" s="3200"/>
      <c r="G7" s="3200"/>
      <c r="H7" s="3200"/>
      <c r="I7" s="3220"/>
      <c r="J7" s="3197" t="e">
        <f>S5&amp;".1"</f>
        <v>#N/A</v>
      </c>
      <c r="K7" s="1260"/>
      <c r="L7" s="1263"/>
      <c r="M7" s="444"/>
      <c r="N7" s="444"/>
      <c r="O7" s="444"/>
      <c r="P7" s="3198"/>
      <c r="Q7" s="3198">
        <v>1</v>
      </c>
      <c r="R7" s="291"/>
      <c r="S7" s="963"/>
      <c r="T7" s="1316"/>
      <c r="U7" s="1301"/>
      <c r="V7" s="3229"/>
      <c r="W7" s="3229"/>
      <c r="X7" s="3229"/>
      <c r="Y7" s="3229"/>
      <c r="Z7" s="3229"/>
      <c r="AA7" s="3230"/>
      <c r="AB7" s="3228"/>
      <c r="AC7" s="3229"/>
      <c r="AD7" s="3229"/>
      <c r="AE7" s="3229"/>
      <c r="AF7" s="3229"/>
      <c r="AG7" s="3229"/>
      <c r="AH7" s="3229"/>
      <c r="AI7" s="3229"/>
      <c r="AJ7" s="3229"/>
      <c r="AK7" s="3229"/>
      <c r="AL7" s="3229"/>
      <c r="AM7" s="3229"/>
      <c r="AN7" s="3229"/>
      <c r="AO7" s="3229"/>
      <c r="AP7" s="3229"/>
      <c r="AQ7" s="3229"/>
      <c r="AR7" s="3229"/>
      <c r="AS7" s="3229"/>
      <c r="AT7" s="3230"/>
      <c r="AU7" s="1302"/>
      <c r="AW7" s="434"/>
      <c r="AX7" s="434" t="str">
        <f t="shared" si="0"/>
        <v/>
      </c>
      <c r="AY7" s="434"/>
      <c r="AZ7" s="434"/>
      <c r="BA7" s="445">
        <v>0</v>
      </c>
    </row>
    <row r="8" spans="1:53" ht="21" hidden="1" customHeight="1">
      <c r="A8" s="1280"/>
      <c r="B8" s="1280"/>
      <c r="C8" s="1280"/>
      <c r="D8" s="1280"/>
      <c r="E8" s="3200"/>
      <c r="F8" s="3200"/>
      <c r="G8" s="3200"/>
      <c r="H8" s="3200"/>
      <c r="I8" s="3220"/>
      <c r="J8" s="3220"/>
      <c r="K8" s="3197" t="e">
        <f>S5&amp;".1"</f>
        <v>#N/A</v>
      </c>
      <c r="L8" s="1281"/>
      <c r="P8" s="3198"/>
      <c r="Q8" s="3198"/>
      <c r="R8" s="3263">
        <v>1</v>
      </c>
      <c r="S8" s="3257" t="e">
        <f>$K8</f>
        <v>#N/A</v>
      </c>
      <c r="T8" s="3260"/>
      <c r="U8" s="235"/>
      <c r="V8" s="685"/>
      <c r="W8" s="1174"/>
      <c r="X8" s="3202"/>
      <c r="Y8" s="3048" t="s">
        <v>67</v>
      </c>
      <c r="Z8" s="3202"/>
      <c r="AA8" s="3048" t="s">
        <v>67</v>
      </c>
      <c r="AB8" s="3048" t="s">
        <v>19</v>
      </c>
      <c r="AC8" s="3242"/>
      <c r="AD8" s="3155">
        <v>1</v>
      </c>
      <c r="AE8" s="3243"/>
      <c r="AF8" s="3048" t="s">
        <v>19</v>
      </c>
      <c r="AG8" s="3242"/>
      <c r="AH8" s="3155">
        <v>1</v>
      </c>
      <c r="AI8" s="3243"/>
      <c r="AJ8" s="3048" t="s">
        <v>19</v>
      </c>
      <c r="AK8" s="246"/>
      <c r="AL8" s="1254">
        <v>1</v>
      </c>
      <c r="AM8" s="1315"/>
      <c r="AN8" s="685"/>
      <c r="AO8" s="1174"/>
      <c r="AP8" s="1650"/>
      <c r="AQ8" s="1376" t="s">
        <v>67</v>
      </c>
      <c r="AR8" s="1650"/>
      <c r="AS8" s="1376" t="s">
        <v>67</v>
      </c>
      <c r="AT8" s="1265"/>
      <c r="AU8" s="3194" t="s">
        <v>497</v>
      </c>
      <c r="AV8" s="445" t="e">
        <f ca="1">STRCHECKDATE(V11:AT11)</f>
        <v>#NAME?</v>
      </c>
      <c r="AW8" s="434"/>
      <c r="AX8" s="434" t="str">
        <f t="shared" si="0"/>
        <v/>
      </c>
      <c r="AY8" s="434"/>
      <c r="AZ8" s="434"/>
      <c r="BA8" s="1072">
        <v>0</v>
      </c>
    </row>
    <row r="9" spans="1:53" ht="11.25" hidden="1" customHeight="1">
      <c r="A9" s="1280"/>
      <c r="B9" s="1280"/>
      <c r="C9" s="1280"/>
      <c r="D9" s="1280"/>
      <c r="E9" s="3200"/>
      <c r="F9" s="3200"/>
      <c r="G9" s="3200"/>
      <c r="H9" s="3200"/>
      <c r="I9" s="3220"/>
      <c r="J9" s="3220"/>
      <c r="K9" s="3197"/>
      <c r="L9" s="1281"/>
      <c r="P9" s="3198"/>
      <c r="Q9" s="3198"/>
      <c r="R9" s="3263"/>
      <c r="S9" s="3258"/>
      <c r="T9" s="3261"/>
      <c r="U9" s="235"/>
      <c r="V9" s="1310"/>
      <c r="W9" s="1314"/>
      <c r="X9" s="3202"/>
      <c r="Y9" s="3048"/>
      <c r="Z9" s="3202"/>
      <c r="AA9" s="3048"/>
      <c r="AB9" s="3048"/>
      <c r="AC9" s="3242"/>
      <c r="AD9" s="3155"/>
      <c r="AE9" s="3243"/>
      <c r="AF9" s="3048"/>
      <c r="AG9" s="3242"/>
      <c r="AH9" s="3155"/>
      <c r="AI9" s="3243"/>
      <c r="AJ9" s="3048"/>
      <c r="AK9" s="251"/>
      <c r="AL9" s="350"/>
      <c r="AM9" s="349" t="s">
        <v>498</v>
      </c>
      <c r="AN9" s="1310"/>
      <c r="AO9" s="1413"/>
      <c r="AP9" s="1310"/>
      <c r="AQ9" s="1310"/>
      <c r="AR9" s="1310"/>
      <c r="AS9" s="1310"/>
      <c r="AT9" s="1307"/>
      <c r="AU9" s="3195"/>
      <c r="AW9" s="434"/>
      <c r="AX9" s="434"/>
      <c r="AY9" s="434"/>
      <c r="AZ9" s="434"/>
      <c r="BA9" s="1072">
        <v>0</v>
      </c>
    </row>
    <row r="10" spans="1:53" ht="11.25" hidden="1" customHeight="1">
      <c r="A10" s="1280"/>
      <c r="B10" s="1280"/>
      <c r="C10" s="1280"/>
      <c r="D10" s="1280"/>
      <c r="E10" s="3200"/>
      <c r="F10" s="3200"/>
      <c r="G10" s="3200"/>
      <c r="H10" s="3200"/>
      <c r="I10" s="3220"/>
      <c r="J10" s="3220"/>
      <c r="K10" s="3197"/>
      <c r="L10" s="1281"/>
      <c r="P10" s="3198"/>
      <c r="Q10" s="3198"/>
      <c r="R10" s="3263"/>
      <c r="S10" s="3258"/>
      <c r="T10" s="3261"/>
      <c r="U10" s="235"/>
      <c r="V10" s="1310"/>
      <c r="W10" s="1314"/>
      <c r="X10" s="3202"/>
      <c r="Y10" s="3048"/>
      <c r="Z10" s="3202"/>
      <c r="AA10" s="3048"/>
      <c r="AB10" s="3048"/>
      <c r="AC10" s="3242"/>
      <c r="AD10" s="3155"/>
      <c r="AE10" s="3243"/>
      <c r="AF10" s="3048"/>
      <c r="AG10" s="229"/>
      <c r="AH10" s="349"/>
      <c r="AI10" s="349" t="s">
        <v>499</v>
      </c>
      <c r="AJ10" s="1310"/>
      <c r="AK10" s="1310"/>
      <c r="AL10" s="1310"/>
      <c r="AM10" s="1310"/>
      <c r="AN10" s="1310"/>
      <c r="AO10" s="1413"/>
      <c r="AP10" s="1310"/>
      <c r="AQ10" s="1310"/>
      <c r="AR10" s="1310"/>
      <c r="AS10" s="1310"/>
      <c r="AT10" s="1307"/>
      <c r="AU10" s="3195"/>
      <c r="AW10" s="434"/>
      <c r="AX10" s="434"/>
      <c r="AY10" s="434"/>
      <c r="AZ10" s="434"/>
      <c r="BA10" s="1072">
        <v>0</v>
      </c>
    </row>
    <row r="11" spans="1:53" ht="11.25" hidden="1" customHeight="1">
      <c r="A11" s="1280"/>
      <c r="B11" s="1280"/>
      <c r="C11" s="1280"/>
      <c r="D11" s="1280"/>
      <c r="E11" s="3200"/>
      <c r="F11" s="3200"/>
      <c r="G11" s="3200"/>
      <c r="H11" s="3200"/>
      <c r="I11" s="3220"/>
      <c r="J11" s="3220"/>
      <c r="K11" s="3197"/>
      <c r="L11" s="1281"/>
      <c r="P11" s="3198"/>
      <c r="Q11" s="3198"/>
      <c r="R11" s="3263"/>
      <c r="S11" s="3259"/>
      <c r="T11" s="3262"/>
      <c r="U11" s="235"/>
      <c r="V11" s="1310"/>
      <c r="W11" s="1313" t="str">
        <f>X8&amp;"-"&amp;Z8</f>
        <v>-</v>
      </c>
      <c r="X11" s="3203"/>
      <c r="Y11" s="3048"/>
      <c r="Z11" s="3203"/>
      <c r="AA11" s="3048"/>
      <c r="AB11" s="3048"/>
      <c r="AC11" s="247"/>
      <c r="AD11" s="249"/>
      <c r="AE11" s="349" t="s">
        <v>500</v>
      </c>
      <c r="AF11" s="1310"/>
      <c r="AG11" s="1310"/>
      <c r="AH11" s="1310"/>
      <c r="AI11" s="1310"/>
      <c r="AJ11" s="1310"/>
      <c r="AK11" s="1310"/>
      <c r="AL11" s="1310"/>
      <c r="AM11" s="1310"/>
      <c r="AN11" s="1310"/>
      <c r="AO11" s="1311" t="str">
        <f>AP8&amp;"-"&amp;AR8</f>
        <v>-</v>
      </c>
      <c r="AP11" s="1310"/>
      <c r="AQ11" s="1310"/>
      <c r="AR11" s="1310"/>
      <c r="AS11" s="1310"/>
      <c r="AT11" s="1266"/>
      <c r="AU11" s="3195"/>
      <c r="AW11" s="434"/>
      <c r="AX11" s="434" t="str">
        <f t="shared" ref="AX11:AX17" si="1">IF(T11="","",T11)</f>
        <v/>
      </c>
      <c r="AY11" s="434"/>
      <c r="AZ11" s="434"/>
      <c r="BA11" s="1072">
        <v>0</v>
      </c>
    </row>
    <row r="12" spans="1:53" ht="11.25" hidden="1" customHeight="1">
      <c r="A12" s="1280"/>
      <c r="B12" s="1280"/>
      <c r="C12" s="1280"/>
      <c r="D12" s="1280"/>
      <c r="E12" s="3200"/>
      <c r="F12" s="3200"/>
      <c r="G12" s="3200"/>
      <c r="H12" s="3200"/>
      <c r="I12" s="3220"/>
      <c r="J12" s="3197"/>
      <c r="K12" s="1280"/>
      <c r="L12" s="1281"/>
      <c r="P12" s="3198"/>
      <c r="Q12" s="3198"/>
      <c r="R12" s="290"/>
      <c r="S12" s="1195"/>
      <c r="T12" s="222" t="s">
        <v>501</v>
      </c>
      <c r="U12" s="301"/>
      <c r="V12" s="301"/>
      <c r="W12" s="301"/>
      <c r="X12" s="301"/>
      <c r="Y12" s="301"/>
      <c r="Z12" s="301"/>
      <c r="AA12" s="301"/>
      <c r="AB12" s="301"/>
      <c r="AC12" s="301"/>
      <c r="AD12" s="301"/>
      <c r="AE12" s="301"/>
      <c r="AF12" s="301"/>
      <c r="AG12" s="301"/>
      <c r="AH12" s="301"/>
      <c r="AI12" s="301"/>
      <c r="AJ12" s="301"/>
      <c r="AK12" s="301"/>
      <c r="AL12" s="301"/>
      <c r="AM12" s="301"/>
      <c r="AN12" s="301"/>
      <c r="AO12" s="301"/>
      <c r="AP12" s="301"/>
      <c r="AQ12" s="301"/>
      <c r="AR12" s="301"/>
      <c r="AS12" s="301"/>
      <c r="AT12" s="259"/>
      <c r="AU12" s="3196"/>
      <c r="AW12" s="434"/>
      <c r="AX12" s="434" t="str">
        <f t="shared" si="1"/>
        <v>Добавить строку</v>
      </c>
      <c r="AY12" s="434"/>
      <c r="AZ12" s="434"/>
      <c r="BA12" s="1072">
        <v>0</v>
      </c>
    </row>
    <row r="13" spans="1:53" s="2017" customFormat="1" ht="0.75" hidden="1" customHeight="1">
      <c r="A13" s="1260"/>
      <c r="B13" s="1260"/>
      <c r="C13" s="1260"/>
      <c r="D13" s="1260"/>
      <c r="E13" s="3200"/>
      <c r="F13" s="3200"/>
      <c r="G13" s="3200"/>
      <c r="H13" s="3200"/>
      <c r="I13" s="3197"/>
      <c r="J13" s="1260"/>
      <c r="K13" s="1260"/>
      <c r="L13" s="1263"/>
      <c r="M13" s="444"/>
      <c r="N13" s="444"/>
      <c r="O13" s="444"/>
      <c r="P13" s="3198"/>
      <c r="Q13" s="1248"/>
      <c r="R13" s="290"/>
      <c r="S13" s="1303"/>
      <c r="T13" s="1304"/>
      <c r="U13" s="1305"/>
      <c r="V13" s="1305"/>
      <c r="W13" s="1305"/>
      <c r="X13" s="1305"/>
      <c r="Y13" s="1305"/>
      <c r="Z13" s="1305"/>
      <c r="AA13" s="1305"/>
      <c r="AB13" s="1305"/>
      <c r="AC13" s="1305"/>
      <c r="AD13" s="1305"/>
      <c r="AE13" s="1305"/>
      <c r="AF13" s="1305"/>
      <c r="AG13" s="1305"/>
      <c r="AH13" s="1305"/>
      <c r="AI13" s="1305"/>
      <c r="AJ13" s="1305"/>
      <c r="AK13" s="1305"/>
      <c r="AL13" s="1305"/>
      <c r="AM13" s="1305"/>
      <c r="AN13" s="1305"/>
      <c r="AO13" s="1305"/>
      <c r="AP13" s="1305"/>
      <c r="AQ13" s="1305"/>
      <c r="AR13" s="1305"/>
      <c r="AS13" s="1305"/>
      <c r="AT13" s="1305"/>
      <c r="AU13" s="1306"/>
      <c r="AW13" s="434"/>
      <c r="AX13" s="434" t="str">
        <f t="shared" si="1"/>
        <v/>
      </c>
      <c r="AY13" s="434"/>
      <c r="AZ13" s="434"/>
      <c r="BA13" s="445">
        <v>0</v>
      </c>
    </row>
    <row r="14" spans="1:53" s="2017" customFormat="1" ht="0.75" hidden="1" customHeight="1">
      <c r="A14" s="1260"/>
      <c r="B14" s="1260"/>
      <c r="C14" s="1260"/>
      <c r="D14" s="1260"/>
      <c r="E14" s="3200"/>
      <c r="F14" s="3200"/>
      <c r="G14" s="3200"/>
      <c r="H14" s="3199"/>
      <c r="I14" s="1260"/>
      <c r="J14" s="1260"/>
      <c r="K14" s="1260"/>
      <c r="L14" s="1263"/>
      <c r="M14" s="1232"/>
      <c r="N14" s="1232"/>
      <c r="O14" s="452"/>
      <c r="P14" s="314"/>
      <c r="Q14" s="1261"/>
      <c r="R14" s="1318"/>
      <c r="S14" s="1303"/>
      <c r="T14" s="1304"/>
      <c r="U14" s="1305"/>
      <c r="V14" s="1305"/>
      <c r="W14" s="1305"/>
      <c r="X14" s="1305"/>
      <c r="Y14" s="1305"/>
      <c r="Z14" s="1305"/>
      <c r="AA14" s="1305"/>
      <c r="AB14" s="1305"/>
      <c r="AC14" s="1305"/>
      <c r="AD14" s="1305"/>
      <c r="AE14" s="1305"/>
      <c r="AF14" s="1305"/>
      <c r="AG14" s="1305"/>
      <c r="AH14" s="1305"/>
      <c r="AI14" s="1305"/>
      <c r="AJ14" s="1305"/>
      <c r="AK14" s="1305"/>
      <c r="AL14" s="1305"/>
      <c r="AM14" s="1305"/>
      <c r="AN14" s="1305"/>
      <c r="AO14" s="1305"/>
      <c r="AP14" s="1305"/>
      <c r="AQ14" s="1305"/>
      <c r="AR14" s="1305"/>
      <c r="AS14" s="1305"/>
      <c r="AT14" s="1305"/>
      <c r="AU14" s="1306"/>
      <c r="AW14" s="434"/>
      <c r="AX14" s="434" t="str">
        <f t="shared" si="1"/>
        <v/>
      </c>
      <c r="AY14" s="434"/>
      <c r="AZ14" s="434"/>
      <c r="BA14" s="445">
        <v>0</v>
      </c>
    </row>
    <row r="15" spans="1:53" s="2017" customFormat="1" ht="0.75" hidden="1" customHeight="1">
      <c r="A15" s="1260"/>
      <c r="B15" s="1260"/>
      <c r="C15" s="1260"/>
      <c r="D15" s="1231"/>
      <c r="E15" s="3200"/>
      <c r="F15" s="3200"/>
      <c r="G15" s="3199"/>
      <c r="H15" s="1231"/>
      <c r="I15" s="1231"/>
      <c r="J15" s="1231"/>
      <c r="K15" s="1231"/>
      <c r="L15" s="1256"/>
      <c r="M15" s="1232"/>
      <c r="N15" s="1232"/>
      <c r="P15" s="1233"/>
      <c r="Q15" s="1234"/>
      <c r="R15" s="1233"/>
      <c r="S15" s="1239"/>
      <c r="T15" s="1242" t="s">
        <v>180</v>
      </c>
      <c r="U15" s="1241"/>
      <c r="V15" s="1241"/>
      <c r="W15" s="1241"/>
      <c r="X15" s="1241"/>
      <c r="Y15" s="1241"/>
      <c r="Z15" s="1241"/>
      <c r="AA15" s="1241"/>
      <c r="AB15" s="1241"/>
      <c r="AC15" s="1241"/>
      <c r="AD15" s="1241"/>
      <c r="AE15" s="1241"/>
      <c r="AF15" s="1241"/>
      <c r="AG15" s="1241"/>
      <c r="AH15" s="1241"/>
      <c r="AI15" s="1241"/>
      <c r="AJ15" s="1241"/>
      <c r="AK15" s="1241"/>
      <c r="AL15" s="1241"/>
      <c r="AM15" s="1241"/>
      <c r="AN15" s="1241"/>
      <c r="AO15" s="1241"/>
      <c r="AP15" s="1241"/>
      <c r="AQ15" s="1241"/>
      <c r="AR15" s="1241"/>
      <c r="AS15" s="1241"/>
      <c r="AT15" s="1241"/>
      <c r="AU15" s="1241"/>
      <c r="AW15" s="717"/>
      <c r="AX15" s="717" t="str">
        <f t="shared" si="1"/>
        <v>Добавить источник для дифференциации</v>
      </c>
      <c r="AY15" s="717"/>
      <c r="AZ15" s="717"/>
      <c r="BA15" s="452">
        <v>0</v>
      </c>
    </row>
    <row r="16" spans="1:53" s="2017" customFormat="1" ht="0.75" hidden="1" customHeight="1">
      <c r="A16" s="1260"/>
      <c r="B16" s="1260"/>
      <c r="C16" s="1231"/>
      <c r="D16" s="1231"/>
      <c r="E16" s="3200"/>
      <c r="F16" s="3199"/>
      <c r="G16" s="1231"/>
      <c r="H16" s="1231"/>
      <c r="I16" s="1231"/>
      <c r="J16" s="1231"/>
      <c r="K16" s="1231"/>
      <c r="L16" s="1256"/>
      <c r="M16" s="1238"/>
      <c r="N16" s="1238"/>
      <c r="P16" s="1233"/>
      <c r="Q16" s="1234"/>
      <c r="R16" s="1233"/>
      <c r="S16" s="1239"/>
      <c r="T16" s="1242" t="s">
        <v>181</v>
      </c>
      <c r="U16" s="1241"/>
      <c r="V16" s="1241"/>
      <c r="W16" s="1241"/>
      <c r="X16" s="1241"/>
      <c r="Y16" s="1241"/>
      <c r="Z16" s="1241"/>
      <c r="AA16" s="1241"/>
      <c r="AB16" s="1241"/>
      <c r="AC16" s="1241"/>
      <c r="AD16" s="1241"/>
      <c r="AE16" s="1241"/>
      <c r="AF16" s="1241"/>
      <c r="AG16" s="1241"/>
      <c r="AH16" s="1241"/>
      <c r="AI16" s="1241"/>
      <c r="AJ16" s="1241"/>
      <c r="AK16" s="1241"/>
      <c r="AL16" s="1241"/>
      <c r="AM16" s="1241"/>
      <c r="AN16" s="1241"/>
      <c r="AO16" s="1241"/>
      <c r="AP16" s="1241"/>
      <c r="AQ16" s="1241"/>
      <c r="AR16" s="1241"/>
      <c r="AS16" s="1241"/>
      <c r="AT16" s="1241"/>
      <c r="AU16" s="1241"/>
      <c r="AW16" s="717"/>
      <c r="AX16" s="717" t="str">
        <f t="shared" si="1"/>
        <v>Добавить централизованную систему для дифференциации</v>
      </c>
      <c r="AY16" s="717"/>
      <c r="AZ16" s="717"/>
      <c r="BA16" s="452">
        <v>0</v>
      </c>
    </row>
    <row r="17" spans="1:53" s="2017" customFormat="1" ht="0.75" hidden="1" customHeight="1">
      <c r="A17" s="1260"/>
      <c r="B17" s="1260"/>
      <c r="C17" s="1260"/>
      <c r="D17" s="1260"/>
      <c r="E17" s="3199"/>
      <c r="F17" s="1260"/>
      <c r="G17" s="1260"/>
      <c r="H17" s="1260"/>
      <c r="I17" s="1260"/>
      <c r="J17" s="1260"/>
      <c r="K17" s="1260"/>
      <c r="L17" s="1263"/>
      <c r="M17" s="1238"/>
      <c r="N17" s="1238"/>
      <c r="O17" s="452"/>
      <c r="P17" s="314"/>
      <c r="Q17" s="1261"/>
      <c r="R17" s="314"/>
      <c r="S17" s="1239"/>
      <c r="T17" s="1242" t="s">
        <v>188</v>
      </c>
      <c r="U17" s="1241"/>
      <c r="V17" s="1241"/>
      <c r="W17" s="1241"/>
      <c r="X17" s="1241"/>
      <c r="Y17" s="1241"/>
      <c r="Z17" s="1241"/>
      <c r="AA17" s="1241"/>
      <c r="AB17" s="1241"/>
      <c r="AC17" s="1241"/>
      <c r="AD17" s="1241"/>
      <c r="AE17" s="1241"/>
      <c r="AF17" s="1241"/>
      <c r="AG17" s="1241"/>
      <c r="AH17" s="1241"/>
      <c r="AI17" s="1241"/>
      <c r="AJ17" s="1241"/>
      <c r="AK17" s="1241"/>
      <c r="AL17" s="1241"/>
      <c r="AM17" s="1241"/>
      <c r="AN17" s="1241"/>
      <c r="AO17" s="1241"/>
      <c r="AP17" s="1241"/>
      <c r="AQ17" s="1241"/>
      <c r="AR17" s="1241"/>
      <c r="AS17" s="1241"/>
      <c r="AT17" s="1241"/>
      <c r="AU17" s="1241"/>
      <c r="AW17" s="434"/>
      <c r="AX17" s="434" t="str">
        <f t="shared" si="1"/>
        <v>Добавить территорию для дифференциации</v>
      </c>
      <c r="AY17" s="434"/>
      <c r="AZ17" s="434"/>
      <c r="BA17" s="445">
        <v>0</v>
      </c>
    </row>
    <row r="18" spans="1:53" ht="14.25" hidden="1" customHeight="1">
      <c r="AA18" s="262"/>
      <c r="AS18" s="262"/>
      <c r="BA18" s="1072">
        <v>0</v>
      </c>
    </row>
    <row r="19" spans="1:53" ht="14.25" hidden="1" customHeight="1">
      <c r="AB19" s="1241" t="s">
        <v>19</v>
      </c>
      <c r="AC19" s="1418"/>
      <c r="AD19" s="482">
        <v>1</v>
      </c>
      <c r="AE19" s="1419"/>
      <c r="AF19" s="1241" t="s">
        <v>19</v>
      </c>
      <c r="AG19" s="1418"/>
      <c r="AH19" s="482">
        <v>1</v>
      </c>
      <c r="AI19" s="1419"/>
      <c r="AJ19" s="1241" t="s">
        <v>19</v>
      </c>
      <c r="AK19" s="1420"/>
      <c r="AL19" s="482">
        <v>1</v>
      </c>
      <c r="AM19" s="1423"/>
      <c r="AN19" s="1320"/>
      <c r="AO19" s="1321"/>
      <c r="AP19" s="1652"/>
      <c r="AQ19" s="1377" t="s">
        <v>67</v>
      </c>
      <c r="AR19" s="1652"/>
      <c r="AS19" s="1377" t="s">
        <v>67</v>
      </c>
      <c r="BA19" s="1072">
        <v>0</v>
      </c>
    </row>
    <row r="20" spans="1:53" ht="14.25" hidden="1" customHeight="1">
      <c r="AV20" s="430"/>
      <c r="AW20" s="430"/>
      <c r="AX20" s="430"/>
      <c r="AY20" s="430"/>
      <c r="AZ20" s="430"/>
      <c r="BA20" s="1072">
        <v>0</v>
      </c>
    </row>
    <row r="21" spans="1:53" ht="14.25" hidden="1" customHeight="1">
      <c r="O21" s="1284" t="s">
        <v>449</v>
      </c>
      <c r="X21" s="1262"/>
      <c r="Z21" s="1262"/>
      <c r="AA21" s="262"/>
      <c r="AP21" s="1262"/>
      <c r="AR21" s="1262"/>
      <c r="AS21" s="262"/>
      <c r="AV21" s="430"/>
      <c r="AW21" s="430"/>
      <c r="AX21" s="430"/>
      <c r="AY21" s="430"/>
      <c r="AZ21" s="430"/>
      <c r="BA21" s="1072">
        <v>0</v>
      </c>
    </row>
    <row r="22" spans="1:53" ht="14.25" hidden="1" customHeight="1">
      <c r="AA22" s="262"/>
      <c r="AS22" s="262"/>
      <c r="AV22" s="430"/>
      <c r="AW22" s="430"/>
      <c r="AX22" s="430"/>
      <c r="AY22" s="430"/>
      <c r="AZ22" s="430"/>
      <c r="BA22" s="1072">
        <v>0</v>
      </c>
    </row>
    <row r="23" spans="1:53" s="2981" customFormat="1" ht="14.25" hidden="1" customHeight="1">
      <c r="M23" s="1425"/>
      <c r="N23" s="1425"/>
      <c r="O23" s="1426" t="s">
        <v>450</v>
      </c>
      <c r="P23" s="1425"/>
      <c r="Q23" s="1427"/>
      <c r="R23" s="1427"/>
      <c r="Y23" s="1424" t="s">
        <v>452</v>
      </c>
      <c r="AA23" s="1424" t="s">
        <v>453</v>
      </c>
      <c r="AB23" s="1424" t="s">
        <v>502</v>
      </c>
      <c r="AE23" s="1424" t="s">
        <v>503</v>
      </c>
      <c r="AF23" s="1424" t="s">
        <v>502</v>
      </c>
      <c r="AI23" s="1424" t="s">
        <v>504</v>
      </c>
      <c r="AJ23" s="1424" t="s">
        <v>502</v>
      </c>
      <c r="AM23" s="1424" t="s">
        <v>505</v>
      </c>
      <c r="AQ23" s="1424" t="s">
        <v>452</v>
      </c>
      <c r="AS23" s="1424" t="s">
        <v>453</v>
      </c>
      <c r="AV23" s="1428"/>
      <c r="AW23" s="1428"/>
      <c r="AX23" s="1428"/>
      <c r="AY23" s="1428"/>
      <c r="AZ23" s="1428"/>
      <c r="BA23" s="1424">
        <v>0</v>
      </c>
    </row>
    <row r="24" spans="1:53" ht="14.25" hidden="1" customHeight="1">
      <c r="O24" s="1281"/>
      <c r="AV24" s="430"/>
      <c r="AW24" s="430"/>
      <c r="AX24" s="430"/>
      <c r="AY24" s="430"/>
      <c r="AZ24" s="430"/>
      <c r="BA24" s="1072">
        <v>0</v>
      </c>
    </row>
    <row r="25" spans="1:53" ht="14.25" hidden="1" customHeight="1">
      <c r="O25" s="1281"/>
      <c r="AV25" s="430"/>
      <c r="AW25" s="430"/>
      <c r="AX25" s="430"/>
      <c r="AY25" s="430"/>
      <c r="AZ25" s="430"/>
      <c r="BA25" s="1072">
        <v>0</v>
      </c>
    </row>
    <row r="26" spans="1:53" ht="14.65" customHeight="1">
      <c r="Q26" s="226"/>
      <c r="R26" s="310"/>
      <c r="S26" s="1192"/>
      <c r="T26" s="297"/>
      <c r="U26" s="297"/>
      <c r="V26" s="443"/>
      <c r="W26" s="443"/>
      <c r="X26" s="443"/>
      <c r="Y26" s="443"/>
      <c r="Z26" s="443"/>
      <c r="AA26" s="443"/>
      <c r="AB26" s="443"/>
      <c r="AC26" s="443"/>
      <c r="AD26" s="443"/>
      <c r="AE26" s="443"/>
      <c r="AF26" s="443"/>
      <c r="AG26" s="443"/>
      <c r="AH26" s="443"/>
      <c r="AI26" s="443"/>
      <c r="AJ26" s="443"/>
      <c r="AK26" s="443"/>
      <c r="AL26" s="443"/>
      <c r="AM26" s="443"/>
      <c r="AN26" s="443"/>
      <c r="AO26" s="443"/>
      <c r="AP26" s="443"/>
      <c r="AQ26" s="443"/>
      <c r="AR26" s="443"/>
      <c r="AS26" s="443"/>
      <c r="BA26" s="1072">
        <v>14</v>
      </c>
    </row>
    <row r="27" spans="1:53" ht="27.25" customHeight="1">
      <c r="Q27" s="226"/>
      <c r="R27" s="310"/>
      <c r="S27" s="3183"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3183"/>
      <c r="U27" s="3183"/>
      <c r="V27" s="3183"/>
      <c r="W27" s="3183"/>
      <c r="X27" s="3183"/>
      <c r="Y27" s="3183"/>
      <c r="Z27" s="3183"/>
      <c r="AA27" s="3183"/>
      <c r="AB27" s="3183"/>
      <c r="AC27" s="3183"/>
      <c r="AD27" s="3183"/>
      <c r="AE27" s="3183"/>
      <c r="AF27" s="3183"/>
      <c r="AG27" s="3183"/>
      <c r="AH27" s="3183"/>
      <c r="AI27" s="3183"/>
      <c r="AJ27" s="3183"/>
      <c r="AK27" s="3183"/>
      <c r="AL27" s="3183"/>
      <c r="AM27" s="3183"/>
      <c r="AN27" s="3183"/>
      <c r="AO27" s="3183"/>
      <c r="AP27" s="3183"/>
      <c r="AQ27" s="3183"/>
      <c r="AR27" s="3183"/>
      <c r="AS27" s="1160"/>
      <c r="BA27" s="1072">
        <v>26</v>
      </c>
    </row>
    <row r="28" spans="1:53" ht="14.65" customHeight="1">
      <c r="Q28" s="226"/>
      <c r="R28" s="310"/>
      <c r="S28" s="3131" t="str">
        <f>IF(org=0,"Не определено",org)</f>
        <v>ООО "РСО"</v>
      </c>
      <c r="T28" s="3131"/>
      <c r="U28" s="3131"/>
      <c r="V28" s="3131"/>
      <c r="W28" s="3131"/>
      <c r="X28" s="3131"/>
      <c r="Y28" s="3131"/>
      <c r="Z28" s="3131"/>
      <c r="AA28" s="3131"/>
      <c r="AB28" s="3131"/>
      <c r="AC28" s="3131"/>
      <c r="AD28" s="3131"/>
      <c r="AE28" s="3131"/>
      <c r="AF28" s="3131"/>
      <c r="AG28" s="3131"/>
      <c r="AH28" s="3131"/>
      <c r="AI28" s="3131"/>
      <c r="AJ28" s="3131"/>
      <c r="AK28" s="3131"/>
      <c r="AL28" s="3131"/>
      <c r="AM28" s="3131"/>
      <c r="AN28" s="3131"/>
      <c r="AO28" s="3131"/>
      <c r="AP28" s="3131"/>
      <c r="AQ28" s="3131"/>
      <c r="AR28" s="3131"/>
      <c r="AS28" s="1160"/>
      <c r="BA28" s="1072">
        <v>14</v>
      </c>
    </row>
    <row r="29" spans="1:53" ht="14.25" hidden="1" customHeight="1">
      <c r="Q29" s="226"/>
      <c r="R29" s="310"/>
      <c r="S29" s="1192"/>
      <c r="T29" s="297"/>
      <c r="U29" s="297"/>
      <c r="V29" s="257"/>
      <c r="W29" s="257"/>
      <c r="X29" s="257"/>
      <c r="Y29" s="257"/>
      <c r="Z29" s="257"/>
      <c r="AA29" s="257"/>
      <c r="AB29" s="257"/>
      <c r="AC29" s="257"/>
      <c r="AD29" s="257"/>
      <c r="AE29" s="257"/>
      <c r="AF29" s="257"/>
      <c r="AG29" s="257"/>
      <c r="AH29" s="257"/>
      <c r="AI29" s="257"/>
      <c r="AJ29" s="257"/>
      <c r="AK29" s="257"/>
      <c r="AL29" s="257"/>
      <c r="AM29" s="257"/>
      <c r="AN29" s="257"/>
      <c r="AO29" s="257"/>
      <c r="AP29" s="257"/>
      <c r="AQ29" s="257"/>
      <c r="AR29" s="257"/>
      <c r="AS29" s="257"/>
      <c r="AT29" s="443"/>
      <c r="BA29" s="1072">
        <v>0</v>
      </c>
    </row>
    <row r="30" spans="1:53" s="2028" customFormat="1" ht="25.5" hidden="1" customHeight="1">
      <c r="A30" s="1285"/>
      <c r="B30" s="1285"/>
      <c r="C30" s="1285"/>
      <c r="D30" s="1285"/>
      <c r="E30" s="1285"/>
      <c r="F30" s="1285"/>
      <c r="G30" s="1285"/>
      <c r="H30" s="1285"/>
      <c r="I30" s="1285"/>
      <c r="J30" s="1285"/>
      <c r="K30" s="1285"/>
      <c r="L30" s="1286"/>
      <c r="M30" s="1285"/>
      <c r="N30" s="1285"/>
      <c r="O30" s="1285"/>
      <c r="P30" s="1285"/>
      <c r="Q30" s="1285"/>
      <c r="S30" s="3191" t="s">
        <v>42</v>
      </c>
      <c r="T30" s="3191"/>
      <c r="U30" s="1289"/>
      <c r="V30" s="3192" t="str">
        <f>IF(TITLE_NAME_OR_PR_CHANGE="",IF(TITLE_NAME_OR_PR="","",TITLE_NAME_OR_PR),TITLE_NAME_OR_PR_CHANGE)</f>
        <v/>
      </c>
      <c r="W30" s="3192"/>
      <c r="X30" s="3192"/>
      <c r="Y30" s="3192"/>
      <c r="Z30" s="3192"/>
      <c r="AA30" s="261"/>
      <c r="AB30" s="3192" t="str">
        <f>IF(TITLE_NAME_OR_PR_CHANGE="",IF(TITLE_NAME_OR_PR="","",TITLE_NAME_OR_PR),TITLE_NAME_OR_PR_CHANGE)</f>
        <v/>
      </c>
      <c r="AC30" s="3192"/>
      <c r="AD30" s="3192"/>
      <c r="AE30" s="3192"/>
      <c r="AF30" s="3192"/>
      <c r="AG30" s="3192"/>
      <c r="AH30" s="3192"/>
      <c r="AI30" s="3192"/>
      <c r="AJ30" s="3192"/>
      <c r="AK30" s="3192"/>
      <c r="AL30" s="3192"/>
      <c r="AM30" s="3192"/>
      <c r="AN30" s="3192"/>
      <c r="AO30" s="3192"/>
      <c r="AP30" s="3192"/>
      <c r="AQ30" s="3192"/>
      <c r="AR30" s="3192"/>
      <c r="AS30" s="261"/>
      <c r="AT30" s="261"/>
      <c r="AU30" s="215"/>
      <c r="AV30" s="302"/>
      <c r="AW30" s="302"/>
      <c r="AX30" s="302"/>
      <c r="AY30" s="302"/>
      <c r="AZ30" s="302"/>
      <c r="BA30" s="352">
        <v>0</v>
      </c>
    </row>
    <row r="31" spans="1:53" s="2028" customFormat="1" ht="18.75" hidden="1" customHeight="1">
      <c r="A31" s="1285"/>
      <c r="B31" s="1285"/>
      <c r="C31" s="1285"/>
      <c r="D31" s="1285"/>
      <c r="E31" s="1285"/>
      <c r="F31" s="1285"/>
      <c r="G31" s="1285"/>
      <c r="H31" s="1285"/>
      <c r="I31" s="1285"/>
      <c r="J31" s="1285"/>
      <c r="K31" s="1285"/>
      <c r="L31" s="1286"/>
      <c r="M31" s="1285"/>
      <c r="N31" s="1285"/>
      <c r="O31" s="1285"/>
      <c r="P31" s="1285"/>
      <c r="Q31" s="1285"/>
      <c r="S31" s="3191" t="s">
        <v>455</v>
      </c>
      <c r="T31" s="3191"/>
      <c r="U31" s="1289"/>
      <c r="V31" s="3201">
        <f>IF(TITLE_DATE_PR_CHANGE="",IF(TITLE_DATE_PR="","",TITLE_DATE_PR),TITLE_DATE_PR_CHANGE)</f>
        <v>45408</v>
      </c>
      <c r="W31" s="3201"/>
      <c r="X31" s="3201"/>
      <c r="Y31" s="3201"/>
      <c r="Z31" s="3201"/>
      <c r="AA31" s="261"/>
      <c r="AB31" s="3201">
        <f>IF(TITLE_DATE_PR_CHANGE="",IF(TITLE_DATE_PR="","",TITLE_DATE_PR),TITLE_DATE_PR_CHANGE)</f>
        <v>45408</v>
      </c>
      <c r="AC31" s="3201"/>
      <c r="AD31" s="3201"/>
      <c r="AE31" s="3201"/>
      <c r="AF31" s="3201"/>
      <c r="AG31" s="3201"/>
      <c r="AH31" s="3201"/>
      <c r="AI31" s="3201"/>
      <c r="AJ31" s="3201"/>
      <c r="AK31" s="3201"/>
      <c r="AL31" s="3201"/>
      <c r="AM31" s="3201"/>
      <c r="AN31" s="3201"/>
      <c r="AO31" s="3201"/>
      <c r="AP31" s="3201"/>
      <c r="AQ31" s="3201"/>
      <c r="AR31" s="3201"/>
      <c r="AS31" s="261"/>
      <c r="AT31" s="261"/>
      <c r="AU31" s="215"/>
      <c r="AV31" s="302"/>
      <c r="AW31" s="302"/>
      <c r="AX31" s="302"/>
      <c r="AY31" s="302"/>
      <c r="AZ31" s="302"/>
      <c r="BA31" s="352">
        <v>0</v>
      </c>
    </row>
    <row r="32" spans="1:53" s="2028" customFormat="1" ht="18.75" hidden="1" customHeight="1">
      <c r="A32" s="1285"/>
      <c r="B32" s="1285"/>
      <c r="C32" s="1285"/>
      <c r="D32" s="1285"/>
      <c r="E32" s="1285"/>
      <c r="F32" s="1285"/>
      <c r="G32" s="1285"/>
      <c r="H32" s="1285"/>
      <c r="I32" s="1285"/>
      <c r="J32" s="1285"/>
      <c r="K32" s="1285"/>
      <c r="L32" s="1286"/>
      <c r="M32" s="1285"/>
      <c r="N32" s="1285"/>
      <c r="O32" s="1285"/>
      <c r="P32" s="1285"/>
      <c r="Q32" s="1285"/>
      <c r="S32" s="3191" t="s">
        <v>456</v>
      </c>
      <c r="T32" s="3191"/>
      <c r="U32" s="1289"/>
      <c r="V32" s="3192" t="str">
        <f>IF(TITLE_NUMBER_PR_CHANGE="",IF(TITLE_NUMBER_PR="","",TITLE_NUMBER_PR),TITLE_NUMBER_PR_CHANGE)</f>
        <v>04-24/132, 04-24/131</v>
      </c>
      <c r="W32" s="3192"/>
      <c r="X32" s="3192"/>
      <c r="Y32" s="3192"/>
      <c r="Z32" s="3192"/>
      <c r="AA32" s="261"/>
      <c r="AB32" s="3192" t="str">
        <f>IF(TITLE_NUMBER_PR_CHANGE="",IF(TITLE_NUMBER_PR="","",TITLE_NUMBER_PR),TITLE_NUMBER_PR_CHANGE)</f>
        <v>04-24/132, 04-24/131</v>
      </c>
      <c r="AC32" s="3192"/>
      <c r="AD32" s="3192"/>
      <c r="AE32" s="3192"/>
      <c r="AF32" s="3192"/>
      <c r="AG32" s="3192"/>
      <c r="AH32" s="3192"/>
      <c r="AI32" s="3192"/>
      <c r="AJ32" s="3192"/>
      <c r="AK32" s="3192"/>
      <c r="AL32" s="3192"/>
      <c r="AM32" s="3192"/>
      <c r="AN32" s="3192"/>
      <c r="AO32" s="3192"/>
      <c r="AP32" s="3192"/>
      <c r="AQ32" s="3192"/>
      <c r="AR32" s="3192"/>
      <c r="AS32" s="261"/>
      <c r="AT32" s="261"/>
      <c r="AU32" s="215"/>
      <c r="AV32" s="302"/>
      <c r="AW32" s="302"/>
      <c r="AX32" s="302"/>
      <c r="AY32" s="302"/>
      <c r="AZ32" s="302"/>
      <c r="BA32" s="352">
        <v>0</v>
      </c>
    </row>
    <row r="33" spans="1:53" s="2028" customFormat="1" ht="18.75" hidden="1" customHeight="1">
      <c r="A33" s="1285"/>
      <c r="B33" s="1285"/>
      <c r="C33" s="1285"/>
      <c r="D33" s="1285"/>
      <c r="E33" s="1285"/>
      <c r="F33" s="1285"/>
      <c r="G33" s="1285"/>
      <c r="H33" s="1285"/>
      <c r="I33" s="1285"/>
      <c r="J33" s="1285"/>
      <c r="K33" s="1285"/>
      <c r="L33" s="1286"/>
      <c r="M33" s="1285"/>
      <c r="N33" s="1285"/>
      <c r="O33" s="1285"/>
      <c r="P33" s="1285"/>
      <c r="Q33" s="1285"/>
      <c r="S33" s="3191" t="s">
        <v>43</v>
      </c>
      <c r="T33" s="3191"/>
      <c r="U33" s="1289"/>
      <c r="V33" s="3192" t="str">
        <f>IF(TITLE_IST_PUB_CHANGE="",IF(TITLE_IST_PUB="","",TITLE_IST_PUB),TITLE_IST_PUB_CHANGE)</f>
        <v/>
      </c>
      <c r="W33" s="3192"/>
      <c r="X33" s="3192"/>
      <c r="Y33" s="3192"/>
      <c r="Z33" s="3192"/>
      <c r="AA33" s="261"/>
      <c r="AB33" s="3192" t="str">
        <f>IF(TITLE_IST_PUB_CHANGE="",IF(TITLE_IST_PUB="","",TITLE_IST_PUB),TITLE_IST_PUB_CHANGE)</f>
        <v/>
      </c>
      <c r="AC33" s="3192"/>
      <c r="AD33" s="3192"/>
      <c r="AE33" s="3192"/>
      <c r="AF33" s="3192"/>
      <c r="AG33" s="3192"/>
      <c r="AH33" s="3192"/>
      <c r="AI33" s="3192"/>
      <c r="AJ33" s="3192"/>
      <c r="AK33" s="3192"/>
      <c r="AL33" s="3192"/>
      <c r="AM33" s="3192"/>
      <c r="AN33" s="3192"/>
      <c r="AO33" s="3192"/>
      <c r="AP33" s="3192"/>
      <c r="AQ33" s="3192"/>
      <c r="AR33" s="3192"/>
      <c r="AS33" s="261"/>
      <c r="AT33" s="261"/>
      <c r="AU33" s="215"/>
      <c r="AV33" s="302"/>
      <c r="AW33" s="302"/>
      <c r="AX33" s="302"/>
      <c r="AY33" s="302"/>
      <c r="AZ33" s="302"/>
      <c r="BA33" s="352">
        <v>0</v>
      </c>
    </row>
    <row r="34" spans="1:53" ht="14.25" customHeight="1">
      <c r="Q34" s="226"/>
      <c r="R34" s="310"/>
      <c r="S34" s="1192"/>
      <c r="T34" s="297"/>
      <c r="U34" s="297"/>
      <c r="V34" s="257"/>
      <c r="W34" s="257"/>
      <c r="X34" s="257"/>
      <c r="Y34" s="257"/>
      <c r="Z34" s="257"/>
      <c r="AA34" s="257"/>
      <c r="AB34" s="257"/>
      <c r="AC34" s="257"/>
      <c r="AD34" s="257"/>
      <c r="AE34" s="257"/>
      <c r="AF34" s="257"/>
      <c r="AG34" s="257"/>
      <c r="AH34" s="257"/>
      <c r="AI34" s="257"/>
      <c r="AJ34" s="257"/>
      <c r="AK34" s="257"/>
      <c r="AL34" s="257"/>
      <c r="AM34" s="257"/>
      <c r="AN34" s="257"/>
      <c r="AO34" s="257"/>
      <c r="AP34" s="257"/>
      <c r="AQ34" s="257"/>
      <c r="AR34" s="257"/>
      <c r="AS34" s="257"/>
      <c r="AT34" s="443"/>
      <c r="BA34" s="1072">
        <v>0</v>
      </c>
    </row>
    <row r="35" spans="1:53" s="2028" customFormat="1" ht="18.75" customHeight="1">
      <c r="A35" s="1285"/>
      <c r="B35" s="1285"/>
      <c r="C35" s="1285"/>
      <c r="D35" s="1285"/>
      <c r="E35" s="1285"/>
      <c r="F35" s="1285"/>
      <c r="G35" s="1285"/>
      <c r="H35" s="1285"/>
      <c r="I35" s="1285"/>
      <c r="J35" s="1285"/>
      <c r="K35" s="1285"/>
      <c r="L35" s="1286"/>
      <c r="M35" s="1285"/>
      <c r="N35" s="1285"/>
      <c r="O35" s="1285"/>
      <c r="P35" s="1285"/>
      <c r="Q35" s="1285"/>
      <c r="S35" s="3191" t="s">
        <v>455</v>
      </c>
      <c r="T35" s="3191"/>
      <c r="U35" s="1289"/>
      <c r="V35" s="3201">
        <f>IF(TITLE_DATE_PR_CHANGE="",IF(TITLE_DATE_PR="","",TITLE_DATE_PR),TITLE_DATE_PR_CHANGE)</f>
        <v>45408</v>
      </c>
      <c r="W35" s="3201"/>
      <c r="X35" s="3201"/>
      <c r="Y35" s="3201"/>
      <c r="Z35" s="3201"/>
      <c r="AA35" s="261"/>
      <c r="AB35" s="3201">
        <f>IF(TITLE_DATE_PR_CHANGE="",IF(TITLE_DATE_PR="","",TITLE_DATE_PR),TITLE_DATE_PR_CHANGE)</f>
        <v>45408</v>
      </c>
      <c r="AC35" s="3201"/>
      <c r="AD35" s="3201"/>
      <c r="AE35" s="3201"/>
      <c r="AF35" s="3201"/>
      <c r="AG35" s="3201"/>
      <c r="AH35" s="3201"/>
      <c r="AI35" s="3201"/>
      <c r="AJ35" s="3201"/>
      <c r="AK35" s="3201"/>
      <c r="AL35" s="3201"/>
      <c r="AM35" s="3201"/>
      <c r="AN35" s="3201"/>
      <c r="AO35" s="3201"/>
      <c r="AP35" s="3201"/>
      <c r="AQ35" s="3201"/>
      <c r="AR35" s="3201"/>
      <c r="AS35" s="261"/>
      <c r="AT35" s="261"/>
      <c r="AU35" s="215"/>
      <c r="AV35" s="302"/>
      <c r="AW35" s="302"/>
      <c r="AX35" s="302"/>
      <c r="AY35" s="302"/>
      <c r="AZ35" s="302"/>
      <c r="BA35" s="352">
        <v>0</v>
      </c>
    </row>
    <row r="36" spans="1:53" s="2028" customFormat="1" ht="18" customHeight="1">
      <c r="A36" s="1285"/>
      <c r="B36" s="1285"/>
      <c r="C36" s="1285"/>
      <c r="D36" s="1285"/>
      <c r="E36" s="1285"/>
      <c r="F36" s="1285"/>
      <c r="G36" s="1285"/>
      <c r="H36" s="1285"/>
      <c r="I36" s="1285"/>
      <c r="J36" s="1285"/>
      <c r="K36" s="1285"/>
      <c r="L36" s="1286"/>
      <c r="M36" s="1285"/>
      <c r="N36" s="1285"/>
      <c r="O36" s="1285"/>
      <c r="P36" s="1285"/>
      <c r="Q36" s="1285"/>
      <c r="S36" s="3191" t="s">
        <v>456</v>
      </c>
      <c r="T36" s="3191"/>
      <c r="U36" s="1289"/>
      <c r="V36" s="3192" t="str">
        <f>IF(TITLE_NUMBER_PR_CHANGE="",IF(TITLE_NUMBER_PR="","",TITLE_NUMBER_PR),TITLE_NUMBER_PR_CHANGE)</f>
        <v>04-24/132, 04-24/131</v>
      </c>
      <c r="W36" s="3192"/>
      <c r="X36" s="3192"/>
      <c r="Y36" s="3192"/>
      <c r="Z36" s="3192"/>
      <c r="AA36" s="261"/>
      <c r="AB36" s="3192" t="str">
        <f>IF(TITLE_NUMBER_PR_CHANGE="",IF(TITLE_NUMBER_PR="","",TITLE_NUMBER_PR),TITLE_NUMBER_PR_CHANGE)</f>
        <v>04-24/132, 04-24/131</v>
      </c>
      <c r="AC36" s="3192"/>
      <c r="AD36" s="3192"/>
      <c r="AE36" s="3192"/>
      <c r="AF36" s="3192"/>
      <c r="AG36" s="3192"/>
      <c r="AH36" s="3192"/>
      <c r="AI36" s="3192"/>
      <c r="AJ36" s="3192"/>
      <c r="AK36" s="3192"/>
      <c r="AL36" s="3192"/>
      <c r="AM36" s="3192"/>
      <c r="AN36" s="3192"/>
      <c r="AO36" s="3192"/>
      <c r="AP36" s="3192"/>
      <c r="AQ36" s="3192"/>
      <c r="AR36" s="3192"/>
      <c r="AS36" s="261"/>
      <c r="AT36" s="261"/>
      <c r="AU36" s="215"/>
      <c r="AV36" s="302"/>
      <c r="AW36" s="302"/>
      <c r="AX36" s="302"/>
      <c r="AY36" s="302"/>
      <c r="AZ36" s="302"/>
      <c r="BA36" s="352">
        <v>0</v>
      </c>
    </row>
    <row r="37" spans="1:53" s="2028" customFormat="1" ht="1" customHeight="1">
      <c r="A37" s="1285"/>
      <c r="B37" s="1285"/>
      <c r="C37" s="1285"/>
      <c r="D37" s="1285"/>
      <c r="E37" s="1285"/>
      <c r="F37" s="1285"/>
      <c r="G37" s="1285"/>
      <c r="H37" s="1285"/>
      <c r="I37" s="1285"/>
      <c r="J37" s="1285"/>
      <c r="K37" s="1285"/>
      <c r="L37" s="1286"/>
      <c r="M37" s="1285"/>
      <c r="N37" s="1285"/>
      <c r="O37" s="1285"/>
      <c r="P37" s="1285"/>
      <c r="Q37" s="1285"/>
      <c r="S37" s="258"/>
      <c r="T37" s="258"/>
      <c r="U37" s="1257"/>
      <c r="V37" s="261"/>
      <c r="W37" s="261"/>
      <c r="X37" s="261"/>
      <c r="Y37" s="261"/>
      <c r="Z37" s="261"/>
      <c r="AA37" s="213" t="s">
        <v>459</v>
      </c>
      <c r="AB37" s="261"/>
      <c r="AC37" s="261"/>
      <c r="AD37" s="261"/>
      <c r="AE37" s="261"/>
      <c r="AF37" s="261"/>
      <c r="AG37" s="261"/>
      <c r="AH37" s="261"/>
      <c r="AI37" s="261"/>
      <c r="AJ37" s="261"/>
      <c r="AK37" s="261"/>
      <c r="AL37" s="261"/>
      <c r="AM37" s="261"/>
      <c r="AN37" s="261"/>
      <c r="AO37" s="261"/>
      <c r="AP37" s="261"/>
      <c r="AQ37" s="261"/>
      <c r="AR37" s="261"/>
      <c r="AS37" s="213" t="s">
        <v>459</v>
      </c>
      <c r="AV37" s="302"/>
      <c r="AW37" s="302"/>
      <c r="AX37" s="302"/>
      <c r="AY37" s="302"/>
      <c r="AZ37" s="302"/>
      <c r="BA37" s="352">
        <v>1</v>
      </c>
    </row>
    <row r="38" spans="1:53" ht="14.65" customHeight="1">
      <c r="Q38" s="226"/>
      <c r="R38" s="310"/>
      <c r="S38" s="1192"/>
      <c r="T38" s="297"/>
      <c r="U38" s="1161"/>
      <c r="V38" s="3193"/>
      <c r="W38" s="3193"/>
      <c r="X38" s="3193"/>
      <c r="Y38" s="3193"/>
      <c r="Z38" s="3193"/>
      <c r="AA38" s="3193"/>
      <c r="AB38" s="3193"/>
      <c r="AC38" s="3193"/>
      <c r="AD38" s="3193"/>
      <c r="AE38" s="3193"/>
      <c r="AF38" s="3193"/>
      <c r="AG38" s="3193"/>
      <c r="AH38" s="3193"/>
      <c r="AI38" s="3193"/>
      <c r="AJ38" s="3193"/>
      <c r="AK38" s="3193"/>
      <c r="AL38" s="3193"/>
      <c r="AM38" s="3193"/>
      <c r="AN38" s="3193"/>
      <c r="AO38" s="3193"/>
      <c r="AP38" s="3193"/>
      <c r="AQ38" s="3193"/>
      <c r="AR38" s="3193"/>
      <c r="AS38" s="3193"/>
      <c r="BA38" s="1072">
        <v>14</v>
      </c>
    </row>
    <row r="39" spans="1:53" ht="14.65" customHeight="1">
      <c r="Q39" s="226"/>
      <c r="R39" s="310"/>
      <c r="S39" s="3067" t="s">
        <v>335</v>
      </c>
      <c r="T39" s="3067"/>
      <c r="U39" s="3067"/>
      <c r="V39" s="3067"/>
      <c r="W39" s="3067"/>
      <c r="X39" s="3067"/>
      <c r="Y39" s="3067"/>
      <c r="Z39" s="3067"/>
      <c r="AA39" s="3067"/>
      <c r="AB39" s="3130"/>
      <c r="AC39" s="3130"/>
      <c r="AD39" s="3130"/>
      <c r="AE39" s="3130"/>
      <c r="AF39" s="3067"/>
      <c r="AG39" s="3067"/>
      <c r="AH39" s="3067"/>
      <c r="AI39" s="3067"/>
      <c r="AJ39" s="3067"/>
      <c r="AK39" s="3067"/>
      <c r="AL39" s="3067"/>
      <c r="AM39" s="3067"/>
      <c r="AN39" s="3067"/>
      <c r="AO39" s="3067"/>
      <c r="AP39" s="3067"/>
      <c r="AQ39" s="3067"/>
      <c r="AR39" s="3067"/>
      <c r="AS39" s="3067"/>
      <c r="AT39" s="3067"/>
      <c r="AU39" s="3067" t="s">
        <v>336</v>
      </c>
      <c r="BA39" s="1072">
        <v>14</v>
      </c>
    </row>
    <row r="40" spans="1:53" ht="14.65" customHeight="1">
      <c r="Q40" s="226"/>
      <c r="R40" s="310"/>
      <c r="S40" s="3207" t="s">
        <v>89</v>
      </c>
      <c r="T40" s="3159" t="s">
        <v>506</v>
      </c>
      <c r="U40" s="236"/>
      <c r="V40" s="3209"/>
      <c r="W40" s="3209"/>
      <c r="X40" s="3209"/>
      <c r="Y40" s="3209"/>
      <c r="Z40" s="3210"/>
      <c r="AA40" s="3252" t="s">
        <v>462</v>
      </c>
      <c r="AB40" s="3244" t="s">
        <v>507</v>
      </c>
      <c r="AC40" s="3225"/>
      <c r="AD40" s="3225"/>
      <c r="AE40" s="3245"/>
      <c r="AF40" s="3225" t="s">
        <v>508</v>
      </c>
      <c r="AG40" s="3225"/>
      <c r="AH40" s="3225"/>
      <c r="AI40" s="3245"/>
      <c r="AJ40" s="3244" t="s">
        <v>509</v>
      </c>
      <c r="AK40" s="3225"/>
      <c r="AL40" s="3225"/>
      <c r="AM40" s="3245"/>
      <c r="AN40" s="3244" t="s">
        <v>461</v>
      </c>
      <c r="AO40" s="3225"/>
      <c r="AP40" s="3209"/>
      <c r="AQ40" s="3209"/>
      <c r="AR40" s="3210"/>
      <c r="AS40" s="3211" t="s">
        <v>462</v>
      </c>
      <c r="AT40" s="3214" t="s">
        <v>464</v>
      </c>
      <c r="AU40" s="3067"/>
      <c r="BA40" s="1072">
        <v>14</v>
      </c>
    </row>
    <row r="41" spans="1:53" ht="35.65" customHeight="1">
      <c r="Q41" s="226"/>
      <c r="R41" s="310"/>
      <c r="S41" s="3207"/>
      <c r="T41" s="3159"/>
      <c r="U41" s="952"/>
      <c r="V41" s="3067" t="s">
        <v>510</v>
      </c>
      <c r="W41" s="3067"/>
      <c r="X41" s="3145" t="s">
        <v>468</v>
      </c>
      <c r="Y41" s="3239"/>
      <c r="Z41" s="3146"/>
      <c r="AA41" s="3253"/>
      <c r="AB41" s="3246"/>
      <c r="AC41" s="3247"/>
      <c r="AD41" s="3247"/>
      <c r="AE41" s="3248"/>
      <c r="AF41" s="3247"/>
      <c r="AG41" s="3247"/>
      <c r="AH41" s="3247"/>
      <c r="AI41" s="3248"/>
      <c r="AJ41" s="3246"/>
      <c r="AK41" s="3247"/>
      <c r="AL41" s="3247"/>
      <c r="AM41" s="3247"/>
      <c r="AN41" s="3067" t="s">
        <v>510</v>
      </c>
      <c r="AO41" s="3067"/>
      <c r="AP41" s="3239" t="s">
        <v>468</v>
      </c>
      <c r="AQ41" s="3239"/>
      <c r="AR41" s="3146"/>
      <c r="AS41" s="3212"/>
      <c r="AT41" s="3215"/>
      <c r="AU41" s="3067"/>
      <c r="BA41" s="1072">
        <v>34</v>
      </c>
    </row>
    <row r="42" spans="1:53" ht="14.65" customHeight="1">
      <c r="Q42" s="226"/>
      <c r="R42" s="310"/>
      <c r="S42" s="3207"/>
      <c r="T42" s="3159"/>
      <c r="U42" s="952"/>
      <c r="V42" s="3256" t="str">
        <f>IF($AN$42&lt;&gt;"",$AN$42,"")</f>
        <v/>
      </c>
      <c r="W42" s="3256"/>
      <c r="X42" s="3150"/>
      <c r="Y42" s="3240"/>
      <c r="Z42" s="3151"/>
      <c r="AA42" s="3253"/>
      <c r="AB42" s="3246"/>
      <c r="AC42" s="3247"/>
      <c r="AD42" s="3247"/>
      <c r="AE42" s="3248"/>
      <c r="AF42" s="3247"/>
      <c r="AG42" s="3247"/>
      <c r="AH42" s="3247"/>
      <c r="AI42" s="3248"/>
      <c r="AJ42" s="3246"/>
      <c r="AK42" s="3247"/>
      <c r="AL42" s="3247"/>
      <c r="AM42" s="3247"/>
      <c r="AN42" s="3255"/>
      <c r="AO42" s="3255"/>
      <c r="AP42" s="3240"/>
      <c r="AQ42" s="3240"/>
      <c r="AR42" s="3151"/>
      <c r="AS42" s="3212"/>
      <c r="AT42" s="3215"/>
      <c r="AU42" s="3067"/>
      <c r="BA42" s="1072">
        <v>14</v>
      </c>
    </row>
    <row r="43" spans="1:53" ht="14.65" customHeight="1">
      <c r="A43" s="1287"/>
      <c r="B43" s="1287" t="s">
        <v>149</v>
      </c>
      <c r="C43" s="1287" t="s">
        <v>150</v>
      </c>
      <c r="D43" s="1287" t="s">
        <v>151</v>
      </c>
      <c r="E43" s="1281" t="s">
        <v>469</v>
      </c>
      <c r="F43" s="1281" t="s">
        <v>470</v>
      </c>
      <c r="G43" s="1281" t="s">
        <v>471</v>
      </c>
      <c r="H43" s="1281" t="s">
        <v>472</v>
      </c>
      <c r="I43" s="1281" t="s">
        <v>473</v>
      </c>
      <c r="J43" s="1281" t="s">
        <v>474</v>
      </c>
      <c r="K43" s="1281" t="s">
        <v>475</v>
      </c>
      <c r="L43" s="1281" t="s">
        <v>450</v>
      </c>
      <c r="Q43" s="226"/>
      <c r="R43" s="310"/>
      <c r="S43" s="3207"/>
      <c r="T43" s="3159"/>
      <c r="U43" s="237"/>
      <c r="V43" s="1247" t="s">
        <v>511</v>
      </c>
      <c r="W43" s="1247" t="s">
        <v>512</v>
      </c>
      <c r="X43" s="1255" t="s">
        <v>478</v>
      </c>
      <c r="Y43" s="3167" t="s">
        <v>479</v>
      </c>
      <c r="Z43" s="3169"/>
      <c r="AA43" s="3254"/>
      <c r="AB43" s="3249"/>
      <c r="AC43" s="3250"/>
      <c r="AD43" s="3250"/>
      <c r="AE43" s="3251"/>
      <c r="AF43" s="3250"/>
      <c r="AG43" s="3250"/>
      <c r="AH43" s="3250"/>
      <c r="AI43" s="3251"/>
      <c r="AJ43" s="3249"/>
      <c r="AK43" s="3250"/>
      <c r="AL43" s="3250"/>
      <c r="AM43" s="3251"/>
      <c r="AN43" s="1774" t="s">
        <v>511</v>
      </c>
      <c r="AO43" s="1774" t="s">
        <v>512</v>
      </c>
      <c r="AP43" s="1255" t="s">
        <v>478</v>
      </c>
      <c r="AQ43" s="3167" t="s">
        <v>479</v>
      </c>
      <c r="AR43" s="3169"/>
      <c r="AS43" s="3213"/>
      <c r="AT43" s="3216"/>
      <c r="AU43" s="3067"/>
      <c r="BA43" s="1072">
        <v>14</v>
      </c>
    </row>
    <row r="44" spans="1:53" s="2212" customFormat="1" ht="11.25" hidden="1" customHeight="1">
      <c r="A44" s="1287"/>
      <c r="B44" s="1287"/>
      <c r="C44" s="1287"/>
      <c r="D44" s="1287"/>
      <c r="E44" s="1287"/>
      <c r="F44" s="1287"/>
      <c r="G44" s="1287"/>
      <c r="H44" s="1287"/>
      <c r="I44" s="1287"/>
      <c r="J44" s="1287"/>
      <c r="K44" s="1287"/>
      <c r="L44" s="1281"/>
      <c r="M44" s="1279"/>
      <c r="N44" s="1279"/>
      <c r="O44" s="1279"/>
      <c r="P44" s="444"/>
      <c r="Q44" s="1171"/>
      <c r="R44" s="1171">
        <v>1</v>
      </c>
      <c r="S44" s="1194" t="s">
        <v>124</v>
      </c>
      <c r="T44" s="1172" t="s">
        <v>104</v>
      </c>
      <c r="U44" s="1162" t="str">
        <f ca="1">OFFSET(U44,0,-1)</f>
        <v>2</v>
      </c>
      <c r="V44" s="1252">
        <f ca="1">OFFSET(V44,0,-1)+1</f>
        <v>3</v>
      </c>
      <c r="W44" s="1252">
        <f ca="1">OFFSET(W44,0,-1)+1</f>
        <v>4</v>
      </c>
      <c r="X44" s="1252">
        <f ca="1">OFFSET(X44,0,-1)+1</f>
        <v>5</v>
      </c>
      <c r="Y44" s="3206">
        <f ca="1">OFFSET(Y44,0,-1)+1</f>
        <v>6</v>
      </c>
      <c r="Z44" s="3206"/>
      <c r="AA44" s="1252">
        <f ca="1">OFFSET(AA44,0,-2)+1</f>
        <v>7</v>
      </c>
      <c r="AB44" s="1258">
        <f ca="1">OFFSET(AB44,0,-1)+1</f>
        <v>8</v>
      </c>
      <c r="AC44" s="1258"/>
      <c r="AD44" s="1258"/>
      <c r="AE44" s="1258"/>
      <c r="AF44" s="1252"/>
      <c r="AG44" s="1252"/>
      <c r="AH44" s="1252"/>
      <c r="AI44" s="1252"/>
      <c r="AJ44" s="1252"/>
      <c r="AK44" s="1252"/>
      <c r="AL44" s="1252"/>
      <c r="AM44" s="1252"/>
      <c r="AN44" s="1252">
        <f ca="1">OFFSET(AN44,0,-1)+1</f>
        <v>1</v>
      </c>
      <c r="AO44" s="1252">
        <f ca="1">OFFSET(AO44,0,-1)+1</f>
        <v>2</v>
      </c>
      <c r="AP44" s="1252">
        <f ca="1">OFFSET(AP44,0,-1)+1</f>
        <v>3</v>
      </c>
      <c r="AQ44" s="3206">
        <f ca="1">OFFSET(AQ44,0,-1)+1</f>
        <v>4</v>
      </c>
      <c r="AR44" s="3206"/>
      <c r="AS44" s="1252">
        <f ca="1">OFFSET(AS44,0,-2)+1</f>
        <v>5</v>
      </c>
      <c r="AT44" s="1162">
        <f ca="1">OFFSET(AT44,0,-1)</f>
        <v>5</v>
      </c>
      <c r="AU44" s="1252">
        <f ca="1">OFFSET(AU44,0,-1)+1</f>
        <v>6</v>
      </c>
      <c r="AV44" s="445"/>
      <c r="AW44" s="445"/>
      <c r="AX44" s="445"/>
      <c r="AY44" s="445"/>
      <c r="AZ44" s="445"/>
      <c r="BA44" s="430">
        <v>0</v>
      </c>
    </row>
    <row r="45" spans="1:53" ht="107.25" customHeight="1">
      <c r="A45" s="1280" t="s">
        <v>235</v>
      </c>
      <c r="B45" s="1280"/>
      <c r="C45" s="1280"/>
      <c r="D45" s="1280"/>
      <c r="E45" s="3199">
        <v>1</v>
      </c>
      <c r="F45" s="1280"/>
      <c r="G45" s="1280"/>
      <c r="H45" s="1280"/>
      <c r="I45" s="1280"/>
      <c r="J45" s="1280"/>
      <c r="K45" s="1280"/>
      <c r="L45" s="1281"/>
      <c r="M45" s="1282"/>
      <c r="N45" s="1282"/>
      <c r="O45" s="1282"/>
      <c r="P45" s="1326"/>
      <c r="Q45" s="797"/>
      <c r="R45" s="289"/>
      <c r="S45" s="1253">
        <f>INDEX(PT_DIFFERENTIATION_NUM_NTAR,MATCH(A45,PT_DIFFERENTIATION_NTAR_ID,0))</f>
        <v>0</v>
      </c>
      <c r="T45" s="233" t="s">
        <v>137</v>
      </c>
      <c r="U45" s="235"/>
      <c r="V45" s="3186"/>
      <c r="W45" s="3186"/>
      <c r="X45" s="3186"/>
      <c r="Y45" s="3186"/>
      <c r="Z45" s="3186"/>
      <c r="AA45" s="3187"/>
      <c r="AB45" s="3185" t="str">
        <f>INDEX(PT_DIFFERENTIATION_NTAR,MATCH(A45,PT_DIFFERENTIATION_NTAR_ID,0))</f>
        <v/>
      </c>
      <c r="AC45" s="3186"/>
      <c r="AD45" s="3186"/>
      <c r="AE45" s="3186"/>
      <c r="AF45" s="3186"/>
      <c r="AG45" s="3186"/>
      <c r="AH45" s="3186"/>
      <c r="AI45" s="3186"/>
      <c r="AJ45" s="3186"/>
      <c r="AK45" s="3186"/>
      <c r="AL45" s="3186"/>
      <c r="AM45" s="3186"/>
      <c r="AN45" s="3186"/>
      <c r="AO45" s="3186"/>
      <c r="AP45" s="3186"/>
      <c r="AQ45" s="3186"/>
      <c r="AR45" s="3186"/>
      <c r="AS45" s="3186"/>
      <c r="AT45" s="3187"/>
      <c r="AU45" s="117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434"/>
      <c r="AX45" s="434" t="str">
        <f t="shared" ref="AX45:AX51" si="2">IF(T45="","",T45)</f>
        <v>Наименование тарифа</v>
      </c>
      <c r="AY45" s="434"/>
      <c r="AZ45" s="434"/>
      <c r="BA45" s="1072">
        <v>102</v>
      </c>
    </row>
    <row r="46" spans="1:53" ht="22" customHeight="1">
      <c r="A46" s="1280" t="s">
        <v>235</v>
      </c>
      <c r="B46" s="1280" t="s">
        <v>236</v>
      </c>
      <c r="C46" s="1280"/>
      <c r="D46" s="1280"/>
      <c r="E46" s="3200"/>
      <c r="F46" s="3199">
        <v>1</v>
      </c>
      <c r="G46" s="1280"/>
      <c r="H46" s="1280"/>
      <c r="I46" s="1280"/>
      <c r="J46" s="1280"/>
      <c r="K46" s="1280"/>
      <c r="L46" s="1281"/>
      <c r="M46" s="1282"/>
      <c r="N46" s="1282"/>
      <c r="O46" s="1282"/>
      <c r="P46" s="1327"/>
      <c r="Q46" s="1328"/>
      <c r="R46" s="287"/>
      <c r="S46" s="1253" t="str">
        <f>INDEX(PT_DIFFERENTIATION_NUM_TER,MATCH(B46,PT_DIFFERENTIATION_TER_ID,0))</f>
        <v>.</v>
      </c>
      <c r="T46" s="243" t="s">
        <v>432</v>
      </c>
      <c r="U46" s="235"/>
      <c r="V46" s="3186"/>
      <c r="W46" s="3186"/>
      <c r="X46" s="3186"/>
      <c r="Y46" s="3186"/>
      <c r="Z46" s="3186"/>
      <c r="AA46" s="3187"/>
      <c r="AB46" s="3185" t="str">
        <f>INDEX(PT_DIFFERENTIATION_TER,MATCH(B46,PT_DIFFERENTIATION_TER_ID,0))</f>
        <v/>
      </c>
      <c r="AC46" s="3186"/>
      <c r="AD46" s="3186"/>
      <c r="AE46" s="3186"/>
      <c r="AF46" s="3186"/>
      <c r="AG46" s="3186"/>
      <c r="AH46" s="3186"/>
      <c r="AI46" s="3186"/>
      <c r="AJ46" s="3186"/>
      <c r="AK46" s="3186"/>
      <c r="AL46" s="3186"/>
      <c r="AM46" s="3186"/>
      <c r="AN46" s="3186"/>
      <c r="AO46" s="3186"/>
      <c r="AP46" s="3186"/>
      <c r="AQ46" s="3186"/>
      <c r="AR46" s="3186"/>
      <c r="AS46" s="3186"/>
      <c r="AT46" s="3187"/>
      <c r="AU46" s="1175" t="s">
        <v>433</v>
      </c>
      <c r="AW46" s="434"/>
      <c r="AX46" s="434" t="str">
        <f t="shared" si="2"/>
        <v>Территория действия тарифа</v>
      </c>
      <c r="AY46" s="434"/>
      <c r="AZ46" s="434"/>
      <c r="BA46" s="1072">
        <v>21</v>
      </c>
    </row>
    <row r="47" spans="1:53" ht="24" customHeight="1">
      <c r="A47" s="1280" t="s">
        <v>235</v>
      </c>
      <c r="B47" s="1280" t="s">
        <v>236</v>
      </c>
      <c r="C47" s="1280" t="s">
        <v>237</v>
      </c>
      <c r="D47" s="1280"/>
      <c r="E47" s="3200"/>
      <c r="F47" s="3200"/>
      <c r="G47" s="3199">
        <v>1</v>
      </c>
      <c r="H47" s="1280"/>
      <c r="I47" s="1280"/>
      <c r="J47" s="1280"/>
      <c r="K47" s="1280"/>
      <c r="L47" s="1281"/>
      <c r="M47" s="1282"/>
      <c r="N47" s="1282"/>
      <c r="O47" s="1282"/>
      <c r="P47" s="1329"/>
      <c r="Q47" s="1328"/>
      <c r="R47" s="287"/>
      <c r="S47" s="1253" t="str">
        <f>INDEX(PT_DIFFERENTIATION_NUM_CS,MATCH(C47,PT_DIFFERENTIATION_CS_ID,0))</f>
        <v>..</v>
      </c>
      <c r="T47" s="244" t="s">
        <v>434</v>
      </c>
      <c r="U47" s="235"/>
      <c r="V47" s="3186"/>
      <c r="W47" s="3186"/>
      <c r="X47" s="3186"/>
      <c r="Y47" s="3186"/>
      <c r="Z47" s="3186"/>
      <c r="AA47" s="3187"/>
      <c r="AB47" s="3185" t="str">
        <f>INDEX(PT_DIFFERENTIATION_CS,MATCH(C47,PT_DIFFERENTIATION_CS_ID,0))</f>
        <v/>
      </c>
      <c r="AC47" s="3186"/>
      <c r="AD47" s="3186"/>
      <c r="AE47" s="3186"/>
      <c r="AF47" s="3186"/>
      <c r="AG47" s="3186"/>
      <c r="AH47" s="3186"/>
      <c r="AI47" s="3186"/>
      <c r="AJ47" s="3186"/>
      <c r="AK47" s="3186"/>
      <c r="AL47" s="3186"/>
      <c r="AM47" s="3186"/>
      <c r="AN47" s="3186"/>
      <c r="AO47" s="3186"/>
      <c r="AP47" s="3186"/>
      <c r="AQ47" s="3186"/>
      <c r="AR47" s="3186"/>
      <c r="AS47" s="3186"/>
      <c r="AT47" s="3187"/>
      <c r="AU47" s="1175" t="s">
        <v>435</v>
      </c>
      <c r="AW47" s="434"/>
      <c r="AX47" s="434" t="str">
        <f t="shared" si="2"/>
        <v xml:space="preserve">Наименование системы теплоснабжения </v>
      </c>
      <c r="AY47" s="434"/>
      <c r="AZ47" s="434"/>
      <c r="BA47" s="1072">
        <v>23</v>
      </c>
    </row>
    <row r="48" spans="1:53" ht="21" customHeight="1">
      <c r="A48" s="1280" t="s">
        <v>235</v>
      </c>
      <c r="B48" s="1280" t="s">
        <v>236</v>
      </c>
      <c r="C48" s="1280" t="s">
        <v>237</v>
      </c>
      <c r="D48" s="1280" t="s">
        <v>238</v>
      </c>
      <c r="E48" s="3200"/>
      <c r="F48" s="3200"/>
      <c r="G48" s="3200"/>
      <c r="H48" s="3199">
        <v>1</v>
      </c>
      <c r="I48" s="1280"/>
      <c r="J48" s="1280"/>
      <c r="K48" s="1280"/>
      <c r="L48" s="1281"/>
      <c r="M48" s="1282"/>
      <c r="N48" s="1282"/>
      <c r="O48" s="1282"/>
      <c r="P48" s="1329"/>
      <c r="Q48" s="1328"/>
      <c r="R48" s="287"/>
      <c r="S48" s="1253" t="str">
        <f>INDEX(PT_DIFFERENTIATION_NUM_IST_TE,MATCH(D48,PT_DIFFERENTIATION_IST_TE_ID,0))</f>
        <v>...</v>
      </c>
      <c r="T48" s="245" t="s">
        <v>436</v>
      </c>
      <c r="U48" s="235"/>
      <c r="V48" s="3186"/>
      <c r="W48" s="3186"/>
      <c r="X48" s="3186"/>
      <c r="Y48" s="3186"/>
      <c r="Z48" s="3186"/>
      <c r="AA48" s="3187"/>
      <c r="AB48" s="3185" t="str">
        <f>INDEX(PT_DIFFERENTIATION_IST_TE,MATCH(D48,PT_DIFFERENTIATION_IST_TE_ID,0))</f>
        <v/>
      </c>
      <c r="AC48" s="3186"/>
      <c r="AD48" s="3186"/>
      <c r="AE48" s="3186"/>
      <c r="AF48" s="3186"/>
      <c r="AG48" s="3186"/>
      <c r="AH48" s="3186"/>
      <c r="AI48" s="3186"/>
      <c r="AJ48" s="3186"/>
      <c r="AK48" s="3186"/>
      <c r="AL48" s="3186"/>
      <c r="AM48" s="3186"/>
      <c r="AN48" s="3186"/>
      <c r="AO48" s="3186"/>
      <c r="AP48" s="3186"/>
      <c r="AQ48" s="3186"/>
      <c r="AR48" s="3186"/>
      <c r="AS48" s="3186"/>
      <c r="AT48" s="3187"/>
      <c r="AU48" s="1175" t="s">
        <v>437</v>
      </c>
      <c r="AW48" s="434"/>
      <c r="AX48" s="434" t="str">
        <f t="shared" si="2"/>
        <v xml:space="preserve">Источник тепловой энергии  </v>
      </c>
      <c r="AY48" s="434"/>
      <c r="AZ48" s="434"/>
      <c r="BA48" s="1072">
        <v>20</v>
      </c>
    </row>
    <row r="49" spans="1:53" s="2017" customFormat="1" ht="1" customHeight="1">
      <c r="A49" s="1260" t="s">
        <v>235</v>
      </c>
      <c r="B49" s="1260" t="s">
        <v>236</v>
      </c>
      <c r="C49" s="1260" t="s">
        <v>237</v>
      </c>
      <c r="D49" s="1260" t="s">
        <v>238</v>
      </c>
      <c r="E49" s="3200"/>
      <c r="F49" s="3200"/>
      <c r="G49" s="3200"/>
      <c r="H49" s="3200"/>
      <c r="I49" s="3197" t="str">
        <f>S48&amp;".1"</f>
        <v>....1</v>
      </c>
      <c r="J49" s="1260"/>
      <c r="K49" s="1260"/>
      <c r="L49" s="1263" t="s">
        <v>438</v>
      </c>
      <c r="M49" s="444"/>
      <c r="N49" s="444"/>
      <c r="O49" s="444"/>
      <c r="P49" s="3198">
        <v>1</v>
      </c>
      <c r="Q49" s="1248"/>
      <c r="R49" s="290"/>
      <c r="S49" s="963"/>
      <c r="T49" s="1300"/>
      <c r="U49" s="1301"/>
      <c r="V49" s="3229"/>
      <c r="W49" s="3229"/>
      <c r="X49" s="3229"/>
      <c r="Y49" s="3229"/>
      <c r="Z49" s="3229"/>
      <c r="AA49" s="3230"/>
      <c r="AB49" s="3228"/>
      <c r="AC49" s="3229"/>
      <c r="AD49" s="3229"/>
      <c r="AE49" s="3229"/>
      <c r="AF49" s="3229"/>
      <c r="AG49" s="3229"/>
      <c r="AH49" s="3229"/>
      <c r="AI49" s="3229"/>
      <c r="AJ49" s="3229"/>
      <c r="AK49" s="3229"/>
      <c r="AL49" s="3229"/>
      <c r="AM49" s="3229"/>
      <c r="AN49" s="3229"/>
      <c r="AO49" s="3229"/>
      <c r="AP49" s="3229"/>
      <c r="AQ49" s="3229"/>
      <c r="AR49" s="3229"/>
      <c r="AS49" s="3229"/>
      <c r="AT49" s="3230"/>
      <c r="AU49" s="1302"/>
      <c r="AW49" s="434"/>
      <c r="AX49" s="434" t="str">
        <f t="shared" si="2"/>
        <v/>
      </c>
      <c r="AY49" s="434"/>
      <c r="AZ49" s="434"/>
      <c r="BA49" s="445">
        <v>1</v>
      </c>
    </row>
    <row r="50" spans="1:53" s="2017" customFormat="1" ht="1" customHeight="1">
      <c r="A50" s="1260" t="s">
        <v>235</v>
      </c>
      <c r="B50" s="1260" t="s">
        <v>236</v>
      </c>
      <c r="C50" s="1260" t="s">
        <v>237</v>
      </c>
      <c r="D50" s="1260" t="s">
        <v>238</v>
      </c>
      <c r="E50" s="3200"/>
      <c r="F50" s="3200"/>
      <c r="G50" s="3200"/>
      <c r="H50" s="3200"/>
      <c r="I50" s="3220"/>
      <c r="J50" s="3197" t="str">
        <f>S48&amp;".1"</f>
        <v>....1</v>
      </c>
      <c r="K50" s="1260"/>
      <c r="L50" s="1263"/>
      <c r="M50" s="444"/>
      <c r="N50" s="444"/>
      <c r="O50" s="444"/>
      <c r="P50" s="3198"/>
      <c r="Q50" s="3198">
        <v>1</v>
      </c>
      <c r="R50" s="291"/>
      <c r="S50" s="963"/>
      <c r="T50" s="1316"/>
      <c r="U50" s="1301"/>
      <c r="V50" s="3229"/>
      <c r="W50" s="3229"/>
      <c r="X50" s="3229"/>
      <c r="Y50" s="3229"/>
      <c r="Z50" s="3229"/>
      <c r="AA50" s="3230"/>
      <c r="AB50" s="3228"/>
      <c r="AC50" s="3229"/>
      <c r="AD50" s="3229"/>
      <c r="AE50" s="3229"/>
      <c r="AF50" s="3229"/>
      <c r="AG50" s="3229"/>
      <c r="AH50" s="3229"/>
      <c r="AI50" s="3229"/>
      <c r="AJ50" s="3229"/>
      <c r="AK50" s="3229"/>
      <c r="AL50" s="3229"/>
      <c r="AM50" s="3229"/>
      <c r="AN50" s="3229"/>
      <c r="AO50" s="3229"/>
      <c r="AP50" s="3229"/>
      <c r="AQ50" s="3229"/>
      <c r="AR50" s="3229"/>
      <c r="AS50" s="3229"/>
      <c r="AT50" s="3230"/>
      <c r="AU50" s="1302"/>
      <c r="AW50" s="434"/>
      <c r="AX50" s="434" t="str">
        <f t="shared" si="2"/>
        <v/>
      </c>
      <c r="AY50" s="434"/>
      <c r="AZ50" s="434"/>
      <c r="BA50" s="445">
        <v>1</v>
      </c>
    </row>
    <row r="51" spans="1:53" ht="22" customHeight="1">
      <c r="A51" s="1280" t="s">
        <v>235</v>
      </c>
      <c r="B51" s="1280" t="s">
        <v>236</v>
      </c>
      <c r="C51" s="1280" t="s">
        <v>237</v>
      </c>
      <c r="D51" s="1280" t="s">
        <v>238</v>
      </c>
      <c r="E51" s="3200"/>
      <c r="F51" s="3200"/>
      <c r="G51" s="3200"/>
      <c r="H51" s="3200"/>
      <c r="I51" s="3220"/>
      <c r="J51" s="3220"/>
      <c r="K51" s="3197" t="str">
        <f>S48&amp;".1"</f>
        <v>....1</v>
      </c>
      <c r="L51" s="1281"/>
      <c r="P51" s="3198"/>
      <c r="Q51" s="3198"/>
      <c r="R51" s="291">
        <v>1</v>
      </c>
      <c r="S51" s="3257" t="str">
        <f>$K51</f>
        <v>....1</v>
      </c>
      <c r="T51" s="3260"/>
      <c r="U51" s="235"/>
      <c r="V51" s="685"/>
      <c r="W51" s="1174"/>
      <c r="X51" s="1650"/>
      <c r="Y51" s="1376" t="s">
        <v>67</v>
      </c>
      <c r="Z51" s="1650"/>
      <c r="AA51" s="1376" t="s">
        <v>67</v>
      </c>
      <c r="AB51" s="3048" t="s">
        <v>19</v>
      </c>
      <c r="AC51" s="3242"/>
      <c r="AD51" s="3155">
        <v>1</v>
      </c>
      <c r="AE51" s="3264" t="s">
        <v>28</v>
      </c>
      <c r="AF51" s="3048" t="s">
        <v>19</v>
      </c>
      <c r="AG51" s="3242"/>
      <c r="AH51" s="3155">
        <v>1</v>
      </c>
      <c r="AI51" s="3264" t="s">
        <v>28</v>
      </c>
      <c r="AJ51" s="3048" t="s">
        <v>19</v>
      </c>
      <c r="AK51" s="246"/>
      <c r="AL51" s="1254">
        <v>1</v>
      </c>
      <c r="AM51" s="1319"/>
      <c r="AN51" s="685"/>
      <c r="AO51" s="1174"/>
      <c r="AP51" s="1650"/>
      <c r="AQ51" s="1376" t="s">
        <v>67</v>
      </c>
      <c r="AR51" s="1650"/>
      <c r="AS51" s="1376" t="s">
        <v>67</v>
      </c>
      <c r="AT51" s="1265"/>
      <c r="AU51" s="3194" t="s">
        <v>513</v>
      </c>
      <c r="AV51" s="445" t="e">
        <f ca="1">STRCHECKDATE(V54:AT54)</f>
        <v>#NAME?</v>
      </c>
      <c r="AW51" s="434"/>
      <c r="AX51" s="434" t="str">
        <f t="shared" si="2"/>
        <v/>
      </c>
      <c r="AY51" s="434"/>
      <c r="AZ51" s="434"/>
      <c r="BA51" s="1072">
        <v>21</v>
      </c>
    </row>
    <row r="52" spans="1:53" ht="11.5" customHeight="1">
      <c r="A52" s="1280" t="s">
        <v>235</v>
      </c>
      <c r="B52" s="1280"/>
      <c r="C52" s="1280"/>
      <c r="D52" s="1280"/>
      <c r="E52" s="3200"/>
      <c r="F52" s="3200"/>
      <c r="G52" s="3200"/>
      <c r="H52" s="3200"/>
      <c r="I52" s="3220"/>
      <c r="J52" s="3220"/>
      <c r="K52" s="3197"/>
      <c r="L52" s="1281"/>
      <c r="P52" s="3198"/>
      <c r="Q52" s="3198"/>
      <c r="R52" s="291"/>
      <c r="S52" s="3258"/>
      <c r="T52" s="3261"/>
      <c r="U52" s="235"/>
      <c r="V52" s="1310"/>
      <c r="W52" s="1413"/>
      <c r="X52" s="1310"/>
      <c r="Y52" s="1310"/>
      <c r="Z52" s="1310"/>
      <c r="AA52" s="1310"/>
      <c r="AB52" s="3048"/>
      <c r="AC52" s="3242"/>
      <c r="AD52" s="3155"/>
      <c r="AE52" s="3264"/>
      <c r="AF52" s="3048"/>
      <c r="AG52" s="3242"/>
      <c r="AH52" s="3155"/>
      <c r="AI52" s="3264"/>
      <c r="AJ52" s="3048"/>
      <c r="AK52" s="251"/>
      <c r="AL52" s="350"/>
      <c r="AM52" s="349" t="s">
        <v>498</v>
      </c>
      <c r="AN52" s="1310"/>
      <c r="AO52" s="1413"/>
      <c r="AP52" s="1310"/>
      <c r="AQ52" s="1310"/>
      <c r="AR52" s="1310"/>
      <c r="AS52" s="1310"/>
      <c r="AT52" s="1307"/>
      <c r="AU52" s="3195"/>
      <c r="AW52" s="434"/>
      <c r="AX52" s="434"/>
      <c r="AY52" s="434"/>
      <c r="AZ52" s="434"/>
      <c r="BA52" s="1072">
        <v>11</v>
      </c>
    </row>
    <row r="53" spans="1:53" ht="11.5" customHeight="1">
      <c r="A53" s="1280" t="s">
        <v>235</v>
      </c>
      <c r="B53" s="1280"/>
      <c r="C53" s="1280"/>
      <c r="D53" s="1280"/>
      <c r="E53" s="3200"/>
      <c r="F53" s="3200"/>
      <c r="G53" s="3200"/>
      <c r="H53" s="3200"/>
      <c r="I53" s="3220"/>
      <c r="J53" s="3220"/>
      <c r="K53" s="3197"/>
      <c r="L53" s="1281"/>
      <c r="P53" s="3198"/>
      <c r="Q53" s="3198"/>
      <c r="R53" s="291"/>
      <c r="S53" s="3258"/>
      <c r="T53" s="3261"/>
      <c r="U53" s="235"/>
      <c r="V53" s="1310"/>
      <c r="W53" s="1413"/>
      <c r="X53" s="1310"/>
      <c r="Y53" s="1310"/>
      <c r="Z53" s="1310"/>
      <c r="AA53" s="1310"/>
      <c r="AB53" s="3048"/>
      <c r="AC53" s="3242"/>
      <c r="AD53" s="3155"/>
      <c r="AE53" s="3264"/>
      <c r="AF53" s="3048"/>
      <c r="AG53" s="229"/>
      <c r="AH53" s="349"/>
      <c r="AI53" s="349" t="s">
        <v>499</v>
      </c>
      <c r="AJ53" s="1310"/>
      <c r="AK53" s="1310"/>
      <c r="AL53" s="1310"/>
      <c r="AM53" s="1310"/>
      <c r="AN53" s="1310"/>
      <c r="AO53" s="1413"/>
      <c r="AP53" s="1310"/>
      <c r="AQ53" s="1310"/>
      <c r="AR53" s="1310"/>
      <c r="AS53" s="1310"/>
      <c r="AT53" s="1307"/>
      <c r="AU53" s="3195"/>
      <c r="AW53" s="434"/>
      <c r="AX53" s="434"/>
      <c r="AY53" s="434"/>
      <c r="AZ53" s="434"/>
      <c r="BA53" s="1072">
        <v>11</v>
      </c>
    </row>
    <row r="54" spans="1:53" ht="11.5" customHeight="1">
      <c r="A54" s="1280" t="s">
        <v>235</v>
      </c>
      <c r="B54" s="1280" t="s">
        <v>236</v>
      </c>
      <c r="C54" s="1280" t="s">
        <v>237</v>
      </c>
      <c r="D54" s="1280" t="s">
        <v>238</v>
      </c>
      <c r="E54" s="3200"/>
      <c r="F54" s="3200"/>
      <c r="G54" s="3200"/>
      <c r="H54" s="3200"/>
      <c r="I54" s="3220"/>
      <c r="J54" s="3220"/>
      <c r="K54" s="3197"/>
      <c r="L54" s="1281"/>
      <c r="P54" s="3198"/>
      <c r="Q54" s="3198"/>
      <c r="R54" s="291"/>
      <c r="S54" s="3259"/>
      <c r="T54" s="3262"/>
      <c r="U54" s="235"/>
      <c r="V54" s="1310"/>
      <c r="W54" s="1311" t="str">
        <f>X51&amp;"-"&amp;Z51</f>
        <v>-</v>
      </c>
      <c r="X54" s="1310"/>
      <c r="Y54" s="1310"/>
      <c r="Z54" s="1310"/>
      <c r="AA54" s="1310"/>
      <c r="AB54" s="3048"/>
      <c r="AC54" s="247"/>
      <c r="AD54" s="249"/>
      <c r="AE54" s="349" t="s">
        <v>500</v>
      </c>
      <c r="AF54" s="1310"/>
      <c r="AG54" s="1310"/>
      <c r="AH54" s="1310"/>
      <c r="AI54" s="1310"/>
      <c r="AJ54" s="1310"/>
      <c r="AK54" s="1310"/>
      <c r="AL54" s="1310"/>
      <c r="AM54" s="1310"/>
      <c r="AN54" s="1310"/>
      <c r="AO54" s="1311" t="str">
        <f>AP51&amp;"-"&amp;AR51</f>
        <v>-</v>
      </c>
      <c r="AP54" s="1310"/>
      <c r="AQ54" s="1310"/>
      <c r="AR54" s="1310"/>
      <c r="AS54" s="1310"/>
      <c r="AT54" s="1266"/>
      <c r="AU54" s="3195"/>
      <c r="AW54" s="434"/>
      <c r="AX54" s="434" t="str">
        <f t="shared" ref="AX54:AX62" si="3">IF(T54="","",T54)</f>
        <v/>
      </c>
      <c r="AY54" s="434"/>
      <c r="AZ54" s="434"/>
      <c r="BA54" s="1072">
        <v>11</v>
      </c>
    </row>
    <row r="55" spans="1:53" ht="11.5" customHeight="1">
      <c r="A55" s="1280" t="s">
        <v>235</v>
      </c>
      <c r="B55" s="1280" t="s">
        <v>236</v>
      </c>
      <c r="C55" s="1280" t="s">
        <v>237</v>
      </c>
      <c r="D55" s="1280" t="s">
        <v>238</v>
      </c>
      <c r="E55" s="3200"/>
      <c r="F55" s="3200"/>
      <c r="G55" s="3200"/>
      <c r="H55" s="3200"/>
      <c r="I55" s="3220"/>
      <c r="J55" s="3197"/>
      <c r="K55" s="1280"/>
      <c r="L55" s="1281"/>
      <c r="P55" s="3198"/>
      <c r="Q55" s="3198"/>
      <c r="R55" s="290"/>
      <c r="S55" s="1195"/>
      <c r="T55" s="222" t="s">
        <v>501</v>
      </c>
      <c r="U55" s="301"/>
      <c r="V55" s="301"/>
      <c r="W55" s="301"/>
      <c r="X55" s="301"/>
      <c r="Y55" s="301"/>
      <c r="Z55" s="301"/>
      <c r="AA55" s="259"/>
      <c r="AB55" s="1422"/>
      <c r="AC55" s="301"/>
      <c r="AD55" s="301"/>
      <c r="AE55" s="301"/>
      <c r="AF55" s="301"/>
      <c r="AG55" s="301"/>
      <c r="AH55" s="301"/>
      <c r="AI55" s="301"/>
      <c r="AJ55" s="301"/>
      <c r="AK55" s="301"/>
      <c r="AL55" s="301"/>
      <c r="AM55" s="301"/>
      <c r="AN55" s="301"/>
      <c r="AO55" s="301"/>
      <c r="AP55" s="301"/>
      <c r="AQ55" s="301"/>
      <c r="AR55" s="301"/>
      <c r="AS55" s="301"/>
      <c r="AT55" s="259"/>
      <c r="AU55" s="3196"/>
      <c r="AW55" s="434"/>
      <c r="AX55" s="434" t="str">
        <f t="shared" si="3"/>
        <v>Добавить строку</v>
      </c>
      <c r="AY55" s="434"/>
      <c r="AZ55" s="434"/>
      <c r="BA55" s="1072">
        <v>11</v>
      </c>
    </row>
    <row r="56" spans="1:53" s="2017" customFormat="1" ht="1" customHeight="1">
      <c r="A56" s="1260" t="s">
        <v>235</v>
      </c>
      <c r="B56" s="1260" t="s">
        <v>236</v>
      </c>
      <c r="C56" s="1260" t="s">
        <v>237</v>
      </c>
      <c r="D56" s="1260" t="s">
        <v>238</v>
      </c>
      <c r="E56" s="3200"/>
      <c r="F56" s="3200"/>
      <c r="G56" s="3200"/>
      <c r="H56" s="3200"/>
      <c r="I56" s="3197"/>
      <c r="J56" s="1260"/>
      <c r="K56" s="1260"/>
      <c r="L56" s="1263"/>
      <c r="M56" s="444"/>
      <c r="N56" s="444"/>
      <c r="O56" s="444"/>
      <c r="P56" s="3198"/>
      <c r="Q56" s="1248"/>
      <c r="R56" s="290"/>
      <c r="S56" s="1303"/>
      <c r="T56" s="1304" t="s">
        <v>447</v>
      </c>
      <c r="U56" s="1305"/>
      <c r="V56" s="1305"/>
      <c r="W56" s="1305"/>
      <c r="X56" s="1305"/>
      <c r="Y56" s="1305"/>
      <c r="Z56" s="1305"/>
      <c r="AA56" s="1305"/>
      <c r="AB56" s="1305"/>
      <c r="AC56" s="1305"/>
      <c r="AD56" s="1305"/>
      <c r="AE56" s="1305"/>
      <c r="AF56" s="1305"/>
      <c r="AG56" s="1305"/>
      <c r="AH56" s="1305"/>
      <c r="AI56" s="1305"/>
      <c r="AJ56" s="1305"/>
      <c r="AK56" s="1305"/>
      <c r="AL56" s="1305"/>
      <c r="AM56" s="1305"/>
      <c r="AN56" s="1305"/>
      <c r="AO56" s="1305"/>
      <c r="AP56" s="1305"/>
      <c r="AQ56" s="1305"/>
      <c r="AR56" s="1305"/>
      <c r="AS56" s="1305"/>
      <c r="AT56" s="1305"/>
      <c r="AU56" s="1306"/>
      <c r="AW56" s="434"/>
      <c r="AX56" s="434" t="str">
        <f t="shared" si="3"/>
        <v>Добавить группу потребителей</v>
      </c>
      <c r="AY56" s="434"/>
      <c r="AZ56" s="434"/>
      <c r="BA56" s="445">
        <v>1</v>
      </c>
    </row>
    <row r="57" spans="1:53" s="2212" customFormat="1" ht="1" customHeight="1">
      <c r="A57" s="1260" t="s">
        <v>235</v>
      </c>
      <c r="B57" s="1260" t="s">
        <v>236</v>
      </c>
      <c r="C57" s="1260" t="s">
        <v>237</v>
      </c>
      <c r="D57" s="1260" t="s">
        <v>238</v>
      </c>
      <c r="E57" s="3200"/>
      <c r="F57" s="3200"/>
      <c r="G57" s="3200"/>
      <c r="H57" s="3199"/>
      <c r="I57" s="1260"/>
      <c r="J57" s="1260"/>
      <c r="K57" s="1260"/>
      <c r="L57" s="1263"/>
      <c r="M57" s="1232"/>
      <c r="N57" s="1232"/>
      <c r="O57" s="452"/>
      <c r="P57" s="314"/>
      <c r="Q57" s="1261"/>
      <c r="R57" s="1317"/>
      <c r="S57" s="1303"/>
      <c r="T57" s="1304"/>
      <c r="U57" s="1305"/>
      <c r="V57" s="1305"/>
      <c r="W57" s="1305"/>
      <c r="X57" s="1305"/>
      <c r="Y57" s="1305"/>
      <c r="Z57" s="1305"/>
      <c r="AA57" s="1305"/>
      <c r="AB57" s="1305"/>
      <c r="AC57" s="1305"/>
      <c r="AD57" s="1305"/>
      <c r="AE57" s="1305"/>
      <c r="AF57" s="1305"/>
      <c r="AG57" s="1305"/>
      <c r="AH57" s="1305"/>
      <c r="AI57" s="1305"/>
      <c r="AJ57" s="1305"/>
      <c r="AK57" s="1305"/>
      <c r="AL57" s="1305"/>
      <c r="AM57" s="1305"/>
      <c r="AN57" s="1305"/>
      <c r="AO57" s="1305"/>
      <c r="AP57" s="1305"/>
      <c r="AQ57" s="1305"/>
      <c r="AR57" s="1305"/>
      <c r="AS57" s="1305"/>
      <c r="AT57" s="1305"/>
      <c r="AU57" s="1306"/>
      <c r="AV57" s="445"/>
      <c r="AW57" s="434"/>
      <c r="AX57" s="434" t="str">
        <f t="shared" si="3"/>
        <v/>
      </c>
      <c r="AY57" s="434"/>
      <c r="AZ57" s="434"/>
      <c r="BA57" s="430">
        <v>1</v>
      </c>
    </row>
    <row r="58" spans="1:53" s="2017" customFormat="1" ht="1" customHeight="1">
      <c r="A58" s="1260" t="s">
        <v>235</v>
      </c>
      <c r="B58" s="1260" t="s">
        <v>236</v>
      </c>
      <c r="C58" s="1260" t="s">
        <v>237</v>
      </c>
      <c r="D58" s="1231"/>
      <c r="E58" s="3200"/>
      <c r="F58" s="3200"/>
      <c r="G58" s="3199"/>
      <c r="H58" s="1231"/>
      <c r="I58" s="1231"/>
      <c r="J58" s="1231"/>
      <c r="K58" s="1231"/>
      <c r="L58" s="1256"/>
      <c r="M58" s="1232"/>
      <c r="N58" s="1232"/>
      <c r="P58" s="1233"/>
      <c r="Q58" s="1234"/>
      <c r="R58" s="1233"/>
      <c r="S58" s="1239"/>
      <c r="T58" s="1242" t="s">
        <v>180</v>
      </c>
      <c r="U58" s="1241"/>
      <c r="V58" s="1241"/>
      <c r="W58" s="1241"/>
      <c r="X58" s="1241"/>
      <c r="Y58" s="1241"/>
      <c r="Z58" s="1241"/>
      <c r="AA58" s="1241"/>
      <c r="AB58" s="1241"/>
      <c r="AC58" s="1241"/>
      <c r="AD58" s="1241"/>
      <c r="AE58" s="1241"/>
      <c r="AF58" s="1241"/>
      <c r="AG58" s="1241"/>
      <c r="AH58" s="1241"/>
      <c r="AI58" s="1241"/>
      <c r="AJ58" s="1241"/>
      <c r="AK58" s="1241"/>
      <c r="AL58" s="1241"/>
      <c r="AM58" s="1241"/>
      <c r="AN58" s="1241"/>
      <c r="AO58" s="1241"/>
      <c r="AP58" s="1241"/>
      <c r="AQ58" s="1241"/>
      <c r="AR58" s="1241"/>
      <c r="AS58" s="1241"/>
      <c r="AT58" s="1241"/>
      <c r="AU58" s="1241"/>
      <c r="AW58" s="717"/>
      <c r="AX58" s="717" t="str">
        <f t="shared" si="3"/>
        <v>Добавить источник для дифференциации</v>
      </c>
      <c r="AY58" s="717"/>
      <c r="AZ58" s="717"/>
      <c r="BA58" s="452">
        <v>1</v>
      </c>
    </row>
    <row r="59" spans="1:53" s="2017" customFormat="1" ht="1" customHeight="1">
      <c r="A59" s="1260" t="s">
        <v>235</v>
      </c>
      <c r="B59" s="1260" t="s">
        <v>236</v>
      </c>
      <c r="C59" s="1231"/>
      <c r="D59" s="1231"/>
      <c r="E59" s="3200"/>
      <c r="F59" s="3199"/>
      <c r="G59" s="1231"/>
      <c r="H59" s="1231"/>
      <c r="I59" s="1231"/>
      <c r="J59" s="1231"/>
      <c r="K59" s="1231"/>
      <c r="L59" s="1256"/>
      <c r="M59" s="1238"/>
      <c r="N59" s="1238"/>
      <c r="P59" s="1233"/>
      <c r="Q59" s="1234"/>
      <c r="R59" s="1233"/>
      <c r="S59" s="1239"/>
      <c r="T59" s="1242" t="s">
        <v>181</v>
      </c>
      <c r="U59" s="1241"/>
      <c r="V59" s="1241"/>
      <c r="W59" s="1241"/>
      <c r="X59" s="1241"/>
      <c r="Y59" s="1241"/>
      <c r="Z59" s="1241"/>
      <c r="AA59" s="1241"/>
      <c r="AB59" s="1241"/>
      <c r="AC59" s="1241"/>
      <c r="AD59" s="1241"/>
      <c r="AE59" s="1241"/>
      <c r="AF59" s="1241"/>
      <c r="AG59" s="1241"/>
      <c r="AH59" s="1241"/>
      <c r="AI59" s="1241"/>
      <c r="AJ59" s="1241"/>
      <c r="AK59" s="1241"/>
      <c r="AL59" s="1241"/>
      <c r="AM59" s="1241"/>
      <c r="AN59" s="1241"/>
      <c r="AO59" s="1241"/>
      <c r="AP59" s="1241"/>
      <c r="AQ59" s="1241"/>
      <c r="AR59" s="1241"/>
      <c r="AS59" s="1241"/>
      <c r="AT59" s="1241"/>
      <c r="AU59" s="1241"/>
      <c r="AW59" s="717"/>
      <c r="AX59" s="717" t="str">
        <f t="shared" si="3"/>
        <v>Добавить централизованную систему для дифференциации</v>
      </c>
      <c r="AY59" s="717"/>
      <c r="AZ59" s="717"/>
      <c r="BA59" s="452">
        <v>1</v>
      </c>
    </row>
    <row r="60" spans="1:53" s="2017" customFormat="1" ht="1" customHeight="1">
      <c r="A60" s="1260" t="s">
        <v>235</v>
      </c>
      <c r="B60" s="1260"/>
      <c r="C60" s="1260"/>
      <c r="D60" s="1260"/>
      <c r="E60" s="3200"/>
      <c r="F60" s="1260"/>
      <c r="G60" s="1260"/>
      <c r="H60" s="1260"/>
      <c r="I60" s="1260"/>
      <c r="J60" s="1260"/>
      <c r="K60" s="1260"/>
      <c r="L60" s="1263"/>
      <c r="M60" s="1238"/>
      <c r="N60" s="1238"/>
      <c r="O60" s="452"/>
      <c r="P60" s="314"/>
      <c r="Q60" s="1261"/>
      <c r="R60" s="314"/>
      <c r="S60" s="1239"/>
      <c r="T60" s="1242" t="s">
        <v>188</v>
      </c>
      <c r="U60" s="1241"/>
      <c r="V60" s="1241"/>
      <c r="W60" s="1241"/>
      <c r="X60" s="1241"/>
      <c r="Y60" s="1241"/>
      <c r="Z60" s="1241"/>
      <c r="AA60" s="1241"/>
      <c r="AB60" s="1241"/>
      <c r="AC60" s="1241"/>
      <c r="AD60" s="1241"/>
      <c r="AE60" s="1241"/>
      <c r="AF60" s="1241"/>
      <c r="AG60" s="1241"/>
      <c r="AH60" s="1241"/>
      <c r="AI60" s="1241"/>
      <c r="AJ60" s="1241"/>
      <c r="AK60" s="1241"/>
      <c r="AL60" s="1241"/>
      <c r="AM60" s="1241"/>
      <c r="AN60" s="1241"/>
      <c r="AO60" s="1241"/>
      <c r="AP60" s="1241"/>
      <c r="AQ60" s="1241"/>
      <c r="AR60" s="1241"/>
      <c r="AS60" s="1241"/>
      <c r="AT60" s="1241"/>
      <c r="AU60" s="1241"/>
      <c r="AW60" s="434"/>
      <c r="AX60" s="434" t="str">
        <f t="shared" si="3"/>
        <v>Добавить территорию для дифференциации</v>
      </c>
      <c r="AY60" s="434"/>
      <c r="AZ60" s="434"/>
      <c r="BA60" s="445">
        <v>1</v>
      </c>
    </row>
    <row r="61" spans="1:53" s="2017" customFormat="1" ht="1" customHeight="1">
      <c r="A61" s="1260" t="s">
        <v>235</v>
      </c>
      <c r="B61" s="1260"/>
      <c r="C61" s="1260"/>
      <c r="D61" s="1260"/>
      <c r="E61" s="3199"/>
      <c r="F61" s="1260"/>
      <c r="G61" s="1260"/>
      <c r="H61" s="1260"/>
      <c r="I61" s="1260"/>
      <c r="J61" s="1260"/>
      <c r="K61" s="1260"/>
      <c r="L61" s="1263"/>
      <c r="M61" s="1238"/>
      <c r="N61" s="1238"/>
      <c r="O61" s="452"/>
      <c r="P61" s="314"/>
      <c r="Q61" s="1261"/>
      <c r="R61" s="314"/>
      <c r="S61" s="1239"/>
      <c r="T61" s="1242" t="s">
        <v>188</v>
      </c>
      <c r="U61" s="1241"/>
      <c r="V61" s="1241"/>
      <c r="W61" s="1241"/>
      <c r="X61" s="1241"/>
      <c r="Y61" s="1241"/>
      <c r="Z61" s="1241"/>
      <c r="AA61" s="1241"/>
      <c r="AB61" s="1241"/>
      <c r="AC61" s="1241"/>
      <c r="AD61" s="1241"/>
      <c r="AE61" s="1241"/>
      <c r="AF61" s="1241"/>
      <c r="AG61" s="1241"/>
      <c r="AH61" s="1241"/>
      <c r="AI61" s="1241"/>
      <c r="AJ61" s="1241"/>
      <c r="AK61" s="1241"/>
      <c r="AL61" s="1241"/>
      <c r="AM61" s="1241"/>
      <c r="AN61" s="1241"/>
      <c r="AO61" s="1241"/>
      <c r="AP61" s="1241"/>
      <c r="AQ61" s="1241"/>
      <c r="AR61" s="1241"/>
      <c r="AS61" s="1241"/>
      <c r="AT61" s="1241"/>
      <c r="AU61" s="1241"/>
      <c r="AW61" s="434"/>
      <c r="AX61" s="434" t="str">
        <f t="shared" si="3"/>
        <v>Добавить территорию для дифференциации</v>
      </c>
      <c r="AY61" s="434"/>
      <c r="AZ61" s="434"/>
      <c r="BA61" s="445">
        <v>1</v>
      </c>
    </row>
    <row r="62" spans="1:53" s="2017" customFormat="1" ht="1" customHeight="1">
      <c r="A62" s="1231"/>
      <c r="B62" s="1231"/>
      <c r="C62" s="1231"/>
      <c r="D62" s="1231"/>
      <c r="E62" s="1260"/>
      <c r="F62" s="1231"/>
      <c r="G62" s="1231"/>
      <c r="H62" s="1231"/>
      <c r="I62" s="1231"/>
      <c r="J62" s="1231"/>
      <c r="K62" s="1231"/>
      <c r="L62" s="1256"/>
      <c r="M62" s="1238"/>
      <c r="N62" s="1238"/>
      <c r="P62" s="1233"/>
      <c r="Q62" s="1234"/>
      <c r="R62" s="1233"/>
      <c r="S62" s="1239"/>
      <c r="T62" s="1242" t="s">
        <v>189</v>
      </c>
      <c r="U62" s="1241"/>
      <c r="V62" s="1241"/>
      <c r="W62" s="1241"/>
      <c r="X62" s="1241"/>
      <c r="Y62" s="1241"/>
      <c r="Z62" s="1241"/>
      <c r="AA62" s="1241"/>
      <c r="AB62" s="1241"/>
      <c r="AC62" s="1241"/>
      <c r="AD62" s="1241"/>
      <c r="AE62" s="1241"/>
      <c r="AF62" s="1241"/>
      <c r="AG62" s="1241"/>
      <c r="AH62" s="1241"/>
      <c r="AI62" s="1241"/>
      <c r="AJ62" s="1241"/>
      <c r="AK62" s="1241"/>
      <c r="AL62" s="1241"/>
      <c r="AM62" s="1241"/>
      <c r="AN62" s="1241"/>
      <c r="AO62" s="1241"/>
      <c r="AP62" s="1241"/>
      <c r="AQ62" s="1241"/>
      <c r="AR62" s="1241"/>
      <c r="AS62" s="1241"/>
      <c r="AT62" s="1241"/>
      <c r="AU62" s="1241"/>
      <c r="AW62" s="717"/>
      <c r="AX62" s="717" t="str">
        <f t="shared" si="3"/>
        <v>Добавить наименование тарифа</v>
      </c>
      <c r="AY62" s="717"/>
      <c r="AZ62" s="717"/>
      <c r="BA62" s="452">
        <v>1</v>
      </c>
    </row>
    <row r="63" spans="1:53" ht="11.5" customHeight="1">
      <c r="M63" s="1077"/>
      <c r="N63" s="1077"/>
      <c r="O63" s="471"/>
      <c r="P63" s="1077"/>
      <c r="Q63" s="1077"/>
      <c r="R63" s="1072"/>
      <c r="S63" s="1072"/>
      <c r="AV63" s="1072"/>
      <c r="AW63" s="1072"/>
      <c r="AX63" s="1072"/>
      <c r="AY63" s="1072"/>
      <c r="AZ63" s="1072"/>
      <c r="BA63" s="1072">
        <v>11</v>
      </c>
    </row>
    <row r="64" spans="1:53" ht="20" customHeight="1">
      <c r="O64" s="471"/>
      <c r="S64" s="1170"/>
      <c r="T64" s="3219"/>
      <c r="U64" s="3219"/>
      <c r="V64" s="3219"/>
      <c r="W64" s="3219"/>
      <c r="X64" s="3219"/>
      <c r="Y64" s="3219"/>
      <c r="Z64" s="3219"/>
      <c r="AA64" s="3219"/>
      <c r="AB64" s="3219"/>
      <c r="AC64" s="3219"/>
      <c r="AD64" s="3219"/>
      <c r="AE64" s="3219"/>
      <c r="AF64" s="3219"/>
      <c r="AG64" s="3219"/>
      <c r="AH64" s="3219"/>
      <c r="AI64" s="3219"/>
      <c r="AJ64" s="3219"/>
      <c r="AK64" s="3219"/>
      <c r="AL64" s="3219"/>
      <c r="AM64" s="3219"/>
      <c r="AN64" s="3219"/>
      <c r="AO64" s="3219"/>
      <c r="AP64" s="3219"/>
      <c r="AQ64" s="3219"/>
      <c r="AR64" s="3219"/>
      <c r="AS64" s="3219"/>
      <c r="AT64" s="3219"/>
      <c r="AU64" s="3219"/>
      <c r="BA64" s="1072">
        <v>19</v>
      </c>
    </row>
    <row r="65" spans="1:53" ht="21" customHeight="1">
      <c r="O65" s="471"/>
      <c r="T65" s="3219"/>
      <c r="U65" s="3219"/>
      <c r="V65" s="3219"/>
      <c r="W65" s="3219"/>
      <c r="X65" s="3219"/>
      <c r="Y65" s="3219"/>
      <c r="Z65" s="3219"/>
      <c r="AA65" s="3219"/>
      <c r="AB65" s="3219"/>
      <c r="AC65" s="3219"/>
      <c r="AD65" s="3219"/>
      <c r="AE65" s="3219"/>
      <c r="AF65" s="3219"/>
      <c r="AG65" s="3219"/>
      <c r="AH65" s="3219"/>
      <c r="AI65" s="3219"/>
      <c r="AJ65" s="3219"/>
      <c r="AK65" s="3219"/>
      <c r="AL65" s="3219"/>
      <c r="AM65" s="3219"/>
      <c r="AN65" s="3219"/>
      <c r="AO65" s="3219"/>
      <c r="AP65" s="3219"/>
      <c r="AQ65" s="3219"/>
      <c r="AR65" s="3219"/>
      <c r="AS65" s="3219"/>
      <c r="AT65" s="3219"/>
      <c r="AU65" s="3219"/>
      <c r="BA65" s="1072">
        <v>20</v>
      </c>
    </row>
    <row r="66" spans="1:53" ht="14.65" customHeight="1">
      <c r="O66" s="471"/>
      <c r="T66" s="1250"/>
      <c r="U66" s="1250"/>
      <c r="V66" s="1250"/>
      <c r="W66" s="1250"/>
      <c r="X66" s="1250"/>
      <c r="Y66" s="1250"/>
      <c r="Z66" s="1250"/>
      <c r="AA66" s="1250"/>
      <c r="AB66" s="1250"/>
      <c r="AC66" s="1250"/>
      <c r="AD66" s="1250"/>
      <c r="AE66" s="1250"/>
      <c r="AF66" s="1250"/>
      <c r="AG66" s="1250"/>
      <c r="AH66" s="1250"/>
      <c r="AI66" s="1250"/>
      <c r="AJ66" s="1250"/>
      <c r="AK66" s="1250"/>
      <c r="AL66" s="1250"/>
      <c r="AM66" s="1250"/>
      <c r="AN66" s="1250"/>
      <c r="AO66" s="1250"/>
      <c r="AP66" s="1250"/>
      <c r="AQ66" s="1250"/>
      <c r="AR66" s="1250"/>
      <c r="AS66" s="1250"/>
      <c r="AT66" s="1250"/>
      <c r="AU66" s="1250"/>
      <c r="BA66" s="1072">
        <v>14</v>
      </c>
    </row>
    <row r="67" spans="1:53" ht="20" customHeight="1">
      <c r="O67" s="471"/>
      <c r="T67" s="3219"/>
      <c r="U67" s="3219"/>
      <c r="V67" s="3219"/>
      <c r="W67" s="3219"/>
      <c r="X67" s="3219"/>
      <c r="Y67" s="3219"/>
      <c r="Z67" s="3219"/>
      <c r="AA67" s="3219"/>
      <c r="AB67" s="3219"/>
      <c r="AC67" s="3219"/>
      <c r="AD67" s="3219"/>
      <c r="AE67" s="3219"/>
      <c r="AF67" s="3219"/>
      <c r="AG67" s="3219"/>
      <c r="AH67" s="3219"/>
      <c r="AI67" s="3219"/>
      <c r="AJ67" s="3219"/>
      <c r="AK67" s="3219"/>
      <c r="AL67" s="3219"/>
      <c r="AM67" s="3219"/>
      <c r="AN67" s="3219"/>
      <c r="AO67" s="3219"/>
      <c r="AP67" s="3219"/>
      <c r="AQ67" s="3219"/>
      <c r="AR67" s="3219"/>
      <c r="AS67" s="3219"/>
      <c r="AT67" s="3219"/>
      <c r="AU67" s="3219"/>
      <c r="BA67" s="1072">
        <v>19</v>
      </c>
    </row>
    <row r="68" spans="1:53" ht="16.75" customHeight="1">
      <c r="O68" s="471"/>
      <c r="T68" s="3219"/>
      <c r="U68" s="3219"/>
      <c r="V68" s="3219"/>
      <c r="W68" s="3219"/>
      <c r="X68" s="3219"/>
      <c r="Y68" s="3219"/>
      <c r="Z68" s="3219"/>
      <c r="AA68" s="3219"/>
      <c r="AB68" s="3219"/>
      <c r="AC68" s="3219"/>
      <c r="AD68" s="3219"/>
      <c r="AE68" s="3219"/>
      <c r="AF68" s="3219"/>
      <c r="AG68" s="3219"/>
      <c r="AH68" s="3219"/>
      <c r="AI68" s="3219"/>
      <c r="AJ68" s="3219"/>
      <c r="AK68" s="3219"/>
      <c r="AL68" s="3219"/>
      <c r="AM68" s="3219"/>
      <c r="AN68" s="3219"/>
      <c r="AO68" s="3219"/>
      <c r="AP68" s="3219"/>
      <c r="AQ68" s="3219"/>
      <c r="AR68" s="3219"/>
      <c r="AS68" s="3219"/>
      <c r="AT68" s="3219"/>
      <c r="AU68" s="3219"/>
      <c r="BA68" s="1072">
        <v>16</v>
      </c>
    </row>
    <row r="69" spans="1:53" ht="14.65" customHeight="1">
      <c r="O69" s="471"/>
      <c r="BA69" s="1072">
        <v>14</v>
      </c>
    </row>
    <row r="70" spans="1:53" ht="22.5" hidden="1" customHeight="1">
      <c r="A70" s="1077" t="s">
        <v>83</v>
      </c>
      <c r="B70" s="1077">
        <v>0</v>
      </c>
      <c r="C70" s="1077">
        <v>0</v>
      </c>
      <c r="D70" s="1077">
        <v>0</v>
      </c>
      <c r="E70" s="1077">
        <v>0</v>
      </c>
      <c r="F70" s="1077">
        <v>0</v>
      </c>
      <c r="G70" s="1077">
        <v>0</v>
      </c>
      <c r="H70" s="1077">
        <v>0</v>
      </c>
      <c r="I70" s="1077">
        <v>0</v>
      </c>
      <c r="J70" s="1077">
        <v>0</v>
      </c>
      <c r="K70" s="1077">
        <v>0</v>
      </c>
      <c r="L70" s="1246">
        <v>0</v>
      </c>
      <c r="M70" s="1279">
        <v>0</v>
      </c>
      <c r="N70" s="1279">
        <v>0</v>
      </c>
      <c r="O70" s="1279">
        <v>0</v>
      </c>
      <c r="P70" s="1279">
        <v>3</v>
      </c>
      <c r="Q70" s="1288">
        <v>3</v>
      </c>
      <c r="R70" s="279">
        <v>3</v>
      </c>
      <c r="S70" s="515">
        <v>12</v>
      </c>
      <c r="T70" s="1072">
        <v>31</v>
      </c>
      <c r="U70" s="1072">
        <v>0</v>
      </c>
      <c r="V70" s="1072">
        <v>0</v>
      </c>
      <c r="W70" s="1072">
        <v>0</v>
      </c>
      <c r="X70" s="1072">
        <v>0</v>
      </c>
      <c r="Y70" s="1072">
        <v>0</v>
      </c>
      <c r="Z70" s="1072">
        <v>0</v>
      </c>
      <c r="AA70" s="1072">
        <v>0</v>
      </c>
      <c r="AB70" s="1072">
        <v>5</v>
      </c>
      <c r="AC70" s="1072">
        <v>3</v>
      </c>
      <c r="AD70" s="1072">
        <v>3</v>
      </c>
      <c r="AE70" s="1072">
        <v>24</v>
      </c>
      <c r="AF70" s="1072">
        <v>3</v>
      </c>
      <c r="AG70" s="1072">
        <v>3</v>
      </c>
      <c r="AH70" s="1072">
        <v>3</v>
      </c>
      <c r="AI70" s="1072">
        <v>24</v>
      </c>
      <c r="AJ70" s="1072">
        <v>3</v>
      </c>
      <c r="AK70" s="1072">
        <v>3</v>
      </c>
      <c r="AL70" s="1072">
        <v>3</v>
      </c>
      <c r="AM70" s="1072">
        <v>18</v>
      </c>
      <c r="AN70" s="1072">
        <v>21</v>
      </c>
      <c r="AO70" s="1072">
        <v>21</v>
      </c>
      <c r="AP70" s="1072">
        <v>11</v>
      </c>
      <c r="AQ70" s="1072">
        <v>3</v>
      </c>
      <c r="AR70" s="1072">
        <v>11</v>
      </c>
      <c r="AS70" s="1072">
        <v>8</v>
      </c>
      <c r="AT70" s="1072">
        <v>4</v>
      </c>
      <c r="AU70" s="1072">
        <v>115</v>
      </c>
      <c r="AV70" s="445">
        <v>10</v>
      </c>
      <c r="AW70" s="445">
        <v>10</v>
      </c>
      <c r="AX70" s="445">
        <v>10</v>
      </c>
      <c r="AY70" s="445">
        <v>10</v>
      </c>
      <c r="AZ70" s="445">
        <v>10</v>
      </c>
      <c r="BA70" s="1072">
        <v>23</v>
      </c>
    </row>
  </sheetData>
  <sheetProtection formatColumns="0" formatRows="0" insertRows="0" deleteColumns="0" deleteRows="0" sort="0" autoFilter="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xr:uid="{00000000-0002-0000-1300-000000000000}"/>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xr:uid="{00000000-0002-0000-1300-000001000000}">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xr:uid="{00000000-0002-0000-13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xr:uid="{00000000-0002-0000-1300-000003000000}"/>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xr:uid="{00000000-0002-0000-1300-000004000000}">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xr:uid="{00000000-0002-0000-1300-000005000000}">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xr:uid="{00000000-0002-0000-1300-000006000000}"/>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xr:uid="{00000000-0002-0000-1300-000007000000}">
      <formula1>kind_of_cons</formula1>
    </dataValidation>
    <dataValidation type="list" allowBlank="1" showInputMessage="1" showErrorMessage="1" errorTitle="Ошибка" error="Выберите значение из списка" prompt="Выберите значение из списка" sqref="AN42:AO42" xr:uid="{00000000-0002-0000-1300-000008000000}">
      <formula1>UNIT_CONNECT_LIST</formula1>
    </dataValidation>
    <dataValidation allowBlank="1" errorTitle="Ошибка" error="Выберите значение из списка" sqref="V42:W42" xr:uid="{00000000-0002-0000-1300-000009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7E2328-4FE6-F369-8A01-1E444B593756}">
  <sheetPr>
    <tabColor theme="6" tint="0.39997558519241921"/>
  </sheetPr>
  <dimension ref="A1:AQ58"/>
  <sheetViews>
    <sheetView showGridLines="0" topLeftCell="P23" zoomScale="90" workbookViewId="0"/>
  </sheetViews>
  <sheetFormatPr defaultColWidth="10.59765625" defaultRowHeight="14.25" customHeight="1"/>
  <cols>
    <col min="1" max="1" width="10.59765625" style="2016" hidden="1"/>
    <col min="2" max="2" width="11" style="2016" hidden="1" customWidth="1"/>
    <col min="3" max="3" width="10.59765625" style="2016" hidden="1"/>
    <col min="4" max="4" width="11.796875" style="2016" hidden="1" customWidth="1"/>
    <col min="5" max="5" width="10" style="2016" hidden="1" customWidth="1"/>
    <col min="6" max="6" width="8.69921875" style="2016" hidden="1" customWidth="1"/>
    <col min="7" max="7" width="7.59765625" style="2016" hidden="1" customWidth="1"/>
    <col min="8" max="8" width="11.3984375" style="2016" hidden="1" customWidth="1"/>
    <col min="9" max="9" width="14.09765625" style="2016" hidden="1" customWidth="1"/>
    <col min="10" max="10" width="9.796875" style="2016" hidden="1" customWidth="1"/>
    <col min="11" max="11" width="14.69921875" style="2016" hidden="1" customWidth="1"/>
    <col min="12" max="12" width="19.09765625" style="2216" hidden="1" customWidth="1"/>
    <col min="13" max="14" width="12.296875" style="2006" hidden="1" customWidth="1"/>
    <col min="15" max="15" width="23.3984375" style="2006" hidden="1" customWidth="1"/>
    <col min="16" max="16" width="3" style="2217" customWidth="1"/>
    <col min="17" max="18" width="3" style="2215" customWidth="1"/>
    <col min="19" max="19" width="12" style="2218" customWidth="1"/>
    <col min="20" max="20" width="35" style="2004" customWidth="1"/>
    <col min="21" max="21" width="9.765625E-2" style="2004" customWidth="1"/>
    <col min="22" max="24" width="24.69921875" style="2004" hidden="1" customWidth="1"/>
    <col min="25" max="25" width="11.69921875" style="2004" hidden="1" customWidth="1"/>
    <col min="26" max="26" width="3.69921875" style="2004" hidden="1" customWidth="1"/>
    <col min="27" max="27" width="11.69921875" style="2004" hidden="1" customWidth="1"/>
    <col min="28" max="28" width="8.59765625" style="2004" hidden="1" customWidth="1"/>
    <col min="29" max="29" width="24.69921875" style="2004" customWidth="1"/>
    <col min="30" max="31" width="24" style="2004" customWidth="1"/>
    <col min="32" max="32" width="11" style="2004" customWidth="1"/>
    <col min="33" max="33" width="3.69921875" style="2004" customWidth="1"/>
    <col min="34" max="34" width="11" style="2004" customWidth="1"/>
    <col min="35" max="35" width="8.59765625" style="2004" hidden="1" customWidth="1"/>
    <col min="36" max="36" width="4" style="2004" customWidth="1"/>
    <col min="37" max="37" width="115" style="2004" customWidth="1"/>
    <col min="38" max="42" width="10" style="2017" customWidth="1"/>
    <col min="43" max="43" width="10.59765625" style="2004" hidden="1"/>
  </cols>
  <sheetData>
    <row r="1" spans="1:43" ht="22.5" hidden="1" customHeight="1">
      <c r="X1" s="262"/>
      <c r="Y1" s="262"/>
      <c r="AE1" s="262"/>
      <c r="AF1" s="262"/>
      <c r="AQ1" s="1072" t="s">
        <v>14</v>
      </c>
    </row>
    <row r="2" spans="1:43" ht="23.25" hidden="1" customHeight="1">
      <c r="A2" s="1280"/>
      <c r="B2" s="1280"/>
      <c r="C2" s="1280"/>
      <c r="D2" s="1280"/>
      <c r="E2" s="3199">
        <v>1</v>
      </c>
      <c r="F2" s="1280"/>
      <c r="G2" s="1280"/>
      <c r="H2" s="1280"/>
      <c r="I2" s="1280"/>
      <c r="J2" s="1280"/>
      <c r="K2" s="1280"/>
      <c r="L2" s="1281"/>
      <c r="M2" s="1282"/>
      <c r="N2" s="1282"/>
      <c r="O2" s="1282"/>
      <c r="P2" s="295"/>
      <c r="Q2" s="294"/>
      <c r="R2" s="289"/>
      <c r="S2" s="1342" t="e">
        <f>INDEX(PT_DIFFERENTIATION_NUM_NTAR,MATCH(A2,PT_DIFFERENTIATION_NTAR_ID,0))</f>
        <v>#N/A</v>
      </c>
      <c r="T2" s="233" t="s">
        <v>137</v>
      </c>
      <c r="U2" s="235"/>
      <c r="V2" s="3185"/>
      <c r="W2" s="3186"/>
      <c r="X2" s="3186"/>
      <c r="Y2" s="3186"/>
      <c r="Z2" s="3186"/>
      <c r="AA2" s="3186"/>
      <c r="AB2" s="3187"/>
      <c r="AC2" s="3185" t="e">
        <f>INDEX(PT_DIFFERENTIATION_NTAR,MATCH(A2,PT_DIFFERENTIATION_NTAR_ID,0))</f>
        <v>#N/A</v>
      </c>
      <c r="AD2" s="3186"/>
      <c r="AE2" s="3186"/>
      <c r="AF2" s="3186"/>
      <c r="AG2" s="3186"/>
      <c r="AH2" s="3186"/>
      <c r="AI2" s="3186"/>
      <c r="AJ2" s="3187"/>
      <c r="AK2"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4"/>
      <c r="AN2" s="434" t="str">
        <f t="shared" ref="AN2:AN13" si="0">IF(T2="","",T2)</f>
        <v>Наименование тарифа</v>
      </c>
      <c r="AO2" s="434"/>
      <c r="AP2" s="434"/>
      <c r="AQ2" s="1072">
        <v>0</v>
      </c>
    </row>
    <row r="3" spans="1:43" ht="23.25" hidden="1" customHeight="1">
      <c r="A3" s="1280"/>
      <c r="B3" s="1280"/>
      <c r="C3" s="1280"/>
      <c r="D3" s="1280"/>
      <c r="E3" s="3200"/>
      <c r="F3" s="3199">
        <v>1</v>
      </c>
      <c r="G3" s="1280"/>
      <c r="H3" s="1280"/>
      <c r="I3" s="1280"/>
      <c r="J3" s="1280"/>
      <c r="K3" s="1280"/>
      <c r="L3" s="1281"/>
      <c r="M3" s="1282"/>
      <c r="N3" s="1282"/>
      <c r="O3" s="1282"/>
      <c r="P3" s="1340"/>
      <c r="Q3" s="286"/>
      <c r="R3" s="287"/>
      <c r="S3" s="1342" t="e">
        <f>INDEX(PT_DIFFERENTIATION_NUM_TER,MATCH(B3,PT_DIFFERENTIATION_TER_ID,0))</f>
        <v>#N/A</v>
      </c>
      <c r="T3" s="243" t="s">
        <v>432</v>
      </c>
      <c r="U3" s="235"/>
      <c r="V3" s="3185"/>
      <c r="W3" s="3186"/>
      <c r="X3" s="3186"/>
      <c r="Y3" s="3186"/>
      <c r="Z3" s="3186"/>
      <c r="AA3" s="3186"/>
      <c r="AB3" s="3187"/>
      <c r="AC3" s="3185" t="e">
        <f>INDEX(PT_DIFFERENTIATION_TER,MATCH(B3,PT_DIFFERENTIATION_TER_ID,0))</f>
        <v>#N/A</v>
      </c>
      <c r="AD3" s="3186"/>
      <c r="AE3" s="3186"/>
      <c r="AF3" s="3186"/>
      <c r="AG3" s="3186"/>
      <c r="AH3" s="3186"/>
      <c r="AI3" s="3186"/>
      <c r="AJ3" s="3187"/>
      <c r="AK3" s="1175" t="s">
        <v>433</v>
      </c>
      <c r="AM3" s="434"/>
      <c r="AN3" s="434" t="str">
        <f t="shared" si="0"/>
        <v>Территория действия тарифа</v>
      </c>
      <c r="AO3" s="434"/>
      <c r="AP3" s="434"/>
      <c r="AQ3" s="1072">
        <v>0</v>
      </c>
    </row>
    <row r="4" spans="1:43" ht="23.25" hidden="1" customHeight="1">
      <c r="A4" s="1280"/>
      <c r="B4" s="1280"/>
      <c r="C4" s="1280"/>
      <c r="D4" s="1280"/>
      <c r="E4" s="3200"/>
      <c r="F4" s="3200"/>
      <c r="G4" s="3199">
        <v>1</v>
      </c>
      <c r="H4" s="1280"/>
      <c r="I4" s="1280"/>
      <c r="J4" s="1280"/>
      <c r="K4" s="1280"/>
      <c r="L4" s="1281"/>
      <c r="M4" s="1282"/>
      <c r="N4" s="1282"/>
      <c r="O4" s="1282"/>
      <c r="P4" s="288"/>
      <c r="Q4" s="286"/>
      <c r="R4" s="287"/>
      <c r="S4" s="1342" t="e">
        <f>INDEX(PT_DIFFERENTIATION_NUM_CS,MATCH(C4,PT_DIFFERENTIATION_CS_ID,0))</f>
        <v>#N/A</v>
      </c>
      <c r="T4" s="244" t="s">
        <v>514</v>
      </c>
      <c r="U4" s="235"/>
      <c r="V4" s="3185"/>
      <c r="W4" s="3186"/>
      <c r="X4" s="3186"/>
      <c r="Y4" s="3186"/>
      <c r="Z4" s="3186"/>
      <c r="AA4" s="3186"/>
      <c r="AB4" s="3187"/>
      <c r="AC4" s="3185" t="e">
        <f>INDEX(PT_DIFFERENTIATION_CS,MATCH(C4,PT_DIFFERENTIATION_CS_ID,0))</f>
        <v>#N/A</v>
      </c>
      <c r="AD4" s="3186"/>
      <c r="AE4" s="3186"/>
      <c r="AF4" s="3186"/>
      <c r="AG4" s="3186"/>
      <c r="AH4" s="3186"/>
      <c r="AI4" s="3186"/>
      <c r="AJ4" s="3187"/>
      <c r="AK4" s="1175" t="s">
        <v>515</v>
      </c>
      <c r="AM4" s="434"/>
      <c r="AN4" s="434" t="str">
        <f t="shared" si="0"/>
        <v>Наименование централизованной системы холодного водоснабжения</v>
      </c>
      <c r="AO4" s="434"/>
      <c r="AP4" s="434"/>
      <c r="AQ4" s="1072">
        <v>0</v>
      </c>
    </row>
    <row r="5" spans="1:43" ht="23.25" hidden="1" customHeight="1">
      <c r="A5" s="1280"/>
      <c r="B5" s="1280"/>
      <c r="C5" s="1280"/>
      <c r="D5" s="1280"/>
      <c r="E5" s="3200"/>
      <c r="F5" s="3200"/>
      <c r="G5" s="3200"/>
      <c r="H5" s="3200"/>
      <c r="I5" s="3197" t="e">
        <f>S4&amp;".1"</f>
        <v>#N/A</v>
      </c>
      <c r="J5" s="1280"/>
      <c r="K5" s="1280"/>
      <c r="L5" s="1281"/>
      <c r="P5" s="3198">
        <v>1</v>
      </c>
      <c r="Q5" s="1339"/>
      <c r="R5" s="290"/>
      <c r="S5" s="1342" t="e">
        <f>$I5</f>
        <v>#N/A</v>
      </c>
      <c r="T5" s="220" t="s">
        <v>516</v>
      </c>
      <c r="U5" s="235"/>
      <c r="V5" s="3266"/>
      <c r="W5" s="3267"/>
      <c r="X5" s="3267"/>
      <c r="Y5" s="3267"/>
      <c r="Z5" s="3267"/>
      <c r="AA5" s="3267"/>
      <c r="AB5" s="3268"/>
      <c r="AC5" s="3269"/>
      <c r="AD5" s="3270"/>
      <c r="AE5" s="3270"/>
      <c r="AF5" s="3270"/>
      <c r="AG5" s="3270"/>
      <c r="AH5" s="3270"/>
      <c r="AI5" s="3270"/>
      <c r="AJ5" s="3271"/>
      <c r="AK5" s="1175" t="s">
        <v>517</v>
      </c>
      <c r="AM5" s="434"/>
      <c r="AN5" s="434" t="str">
        <f t="shared" si="0"/>
        <v>Наименование признака дифференциации</v>
      </c>
      <c r="AO5" s="434"/>
      <c r="AP5" s="434"/>
      <c r="AQ5" s="1072">
        <v>0</v>
      </c>
    </row>
    <row r="6" spans="1:43" ht="23.25" hidden="1" customHeight="1">
      <c r="A6" s="1280"/>
      <c r="B6" s="1280"/>
      <c r="C6" s="1280"/>
      <c r="D6" s="1280"/>
      <c r="E6" s="3200"/>
      <c r="F6" s="3200"/>
      <c r="G6" s="3200"/>
      <c r="H6" s="3200"/>
      <c r="I6" s="3220"/>
      <c r="J6" s="3197" t="e">
        <f>I5&amp;".1"</f>
        <v>#N/A</v>
      </c>
      <c r="K6" s="1280"/>
      <c r="L6" s="1281" t="s">
        <v>441</v>
      </c>
      <c r="P6" s="3198"/>
      <c r="Q6" s="3198">
        <v>1</v>
      </c>
      <c r="R6" s="291"/>
      <c r="S6" s="1342" t="e">
        <f>$J6</f>
        <v>#N/A</v>
      </c>
      <c r="T6" s="221" t="s">
        <v>442</v>
      </c>
      <c r="U6" s="235"/>
      <c r="V6" s="3188"/>
      <c r="W6" s="3189"/>
      <c r="X6" s="3189"/>
      <c r="Y6" s="3189"/>
      <c r="Z6" s="3189"/>
      <c r="AA6" s="3189"/>
      <c r="AB6" s="3190"/>
      <c r="AC6" s="3188"/>
      <c r="AD6" s="3189"/>
      <c r="AE6" s="3189"/>
      <c r="AF6" s="3189"/>
      <c r="AG6" s="3189"/>
      <c r="AH6" s="3189"/>
      <c r="AI6" s="3189"/>
      <c r="AJ6" s="3190"/>
      <c r="AK6" s="1224" t="s">
        <v>518</v>
      </c>
      <c r="AM6" s="434"/>
      <c r="AN6" s="434" t="str">
        <f t="shared" si="0"/>
        <v>Группа потребителей</v>
      </c>
      <c r="AO6" s="434"/>
      <c r="AP6" s="434"/>
      <c r="AQ6" s="1072">
        <v>0</v>
      </c>
    </row>
    <row r="7" spans="1:43" ht="23.25" hidden="1" customHeight="1">
      <c r="A7" s="1280"/>
      <c r="B7" s="1280"/>
      <c r="C7" s="1280"/>
      <c r="D7" s="1280"/>
      <c r="E7" s="3200"/>
      <c r="F7" s="3200"/>
      <c r="G7" s="3200"/>
      <c r="H7" s="3200"/>
      <c r="I7" s="3220"/>
      <c r="J7" s="3220"/>
      <c r="K7" s="3197" t="e">
        <f>J6&amp;".1"</f>
        <v>#N/A</v>
      </c>
      <c r="L7" s="1281"/>
      <c r="P7" s="3198"/>
      <c r="Q7" s="3198"/>
      <c r="R7" s="291">
        <v>1</v>
      </c>
      <c r="S7" s="1342" t="e">
        <f>$K7</f>
        <v>#N/A</v>
      </c>
      <c r="T7" s="1354"/>
      <c r="U7" s="235"/>
      <c r="V7" s="685"/>
      <c r="W7" s="685"/>
      <c r="X7" s="1174"/>
      <c r="Y7" s="3202"/>
      <c r="Z7" s="3048" t="s">
        <v>67</v>
      </c>
      <c r="AA7" s="3202"/>
      <c r="AB7" s="3048" t="s">
        <v>67</v>
      </c>
      <c r="AC7" s="685"/>
      <c r="AD7" s="685"/>
      <c r="AE7" s="1174"/>
      <c r="AF7" s="3202"/>
      <c r="AG7" s="3048" t="s">
        <v>67</v>
      </c>
      <c r="AH7" s="3221"/>
      <c r="AI7" s="3048" t="s">
        <v>67</v>
      </c>
      <c r="AJ7" s="1355"/>
      <c r="AK7" s="3265"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5" t="e">
        <f ca="1">STRCHECKDATE(V8:AJ8)</f>
        <v>#NAME?</v>
      </c>
      <c r="AM7" s="434"/>
      <c r="AN7" s="434" t="str">
        <f t="shared" si="0"/>
        <v/>
      </c>
      <c r="AO7" s="434"/>
      <c r="AP7" s="434"/>
      <c r="AQ7" s="1072">
        <v>0</v>
      </c>
    </row>
    <row r="8" spans="1:43" ht="14.25" hidden="1" customHeight="1">
      <c r="A8" s="1280"/>
      <c r="B8" s="1280"/>
      <c r="C8" s="1280"/>
      <c r="D8" s="1280"/>
      <c r="E8" s="3200"/>
      <c r="F8" s="3200"/>
      <c r="G8" s="3200"/>
      <c r="H8" s="3200"/>
      <c r="I8" s="3220"/>
      <c r="J8" s="3220"/>
      <c r="K8" s="3197"/>
      <c r="L8" s="1281"/>
      <c r="P8" s="3198"/>
      <c r="Q8" s="3198"/>
      <c r="R8" s="291"/>
      <c r="S8" s="1341"/>
      <c r="T8" s="235"/>
      <c r="U8" s="235"/>
      <c r="V8" s="260"/>
      <c r="W8" s="260"/>
      <c r="X8" s="263" t="str">
        <f>Y7&amp;"-"&amp;AA7</f>
        <v>-</v>
      </c>
      <c r="Y8" s="3203"/>
      <c r="Z8" s="3048"/>
      <c r="AA8" s="3203"/>
      <c r="AB8" s="3048"/>
      <c r="AC8" s="260"/>
      <c r="AD8" s="260"/>
      <c r="AE8" s="263" t="str">
        <f>AF7&amp;"-"&amp;AH7</f>
        <v>-</v>
      </c>
      <c r="AF8" s="3203"/>
      <c r="AG8" s="3048"/>
      <c r="AH8" s="3222"/>
      <c r="AI8" s="3048"/>
      <c r="AJ8" s="1356"/>
      <c r="AK8" s="3265"/>
      <c r="AM8" s="434"/>
      <c r="AN8" s="434" t="str">
        <f t="shared" si="0"/>
        <v/>
      </c>
      <c r="AO8" s="434"/>
      <c r="AP8" s="434"/>
      <c r="AQ8" s="1072">
        <v>0</v>
      </c>
    </row>
    <row r="9" spans="1:43" ht="21" hidden="1" customHeight="1">
      <c r="A9" s="1280"/>
      <c r="B9" s="1280"/>
      <c r="C9" s="1280"/>
      <c r="D9" s="1280"/>
      <c r="E9" s="3200"/>
      <c r="F9" s="3200"/>
      <c r="G9" s="3200"/>
      <c r="H9" s="3200"/>
      <c r="I9" s="3220"/>
      <c r="J9" s="3197"/>
      <c r="K9" s="1280"/>
      <c r="L9" s="1281"/>
      <c r="P9" s="3198"/>
      <c r="Q9" s="3198"/>
      <c r="R9" s="290"/>
      <c r="S9" s="1195"/>
      <c r="T9" s="222" t="s">
        <v>519</v>
      </c>
      <c r="U9" s="301"/>
      <c r="V9" s="301"/>
      <c r="W9" s="301"/>
      <c r="X9" s="301"/>
      <c r="Y9" s="301"/>
      <c r="Z9" s="301"/>
      <c r="AA9" s="301"/>
      <c r="AB9" s="301"/>
      <c r="AC9" s="301"/>
      <c r="AD9" s="301"/>
      <c r="AE9" s="301"/>
      <c r="AF9" s="301"/>
      <c r="AG9" s="301"/>
      <c r="AH9" s="301"/>
      <c r="AI9" s="301"/>
      <c r="AJ9" s="301"/>
      <c r="AK9" s="1175" t="s">
        <v>520</v>
      </c>
      <c r="AM9" s="434"/>
      <c r="AN9" s="434" t="str">
        <f t="shared" si="0"/>
        <v>Добавить значение признака дифференциации</v>
      </c>
      <c r="AO9" s="434"/>
      <c r="AP9" s="434"/>
      <c r="AQ9" s="1072">
        <v>0</v>
      </c>
    </row>
    <row r="10" spans="1:43" ht="21" hidden="1" customHeight="1">
      <c r="A10" s="1280"/>
      <c r="B10" s="1280"/>
      <c r="C10" s="1280"/>
      <c r="D10" s="1280"/>
      <c r="E10" s="3200"/>
      <c r="F10" s="3200"/>
      <c r="G10" s="3200"/>
      <c r="H10" s="3200"/>
      <c r="I10" s="3197"/>
      <c r="J10" s="1280"/>
      <c r="K10" s="1280"/>
      <c r="L10" s="1281"/>
      <c r="P10" s="3198"/>
      <c r="Q10" s="1339"/>
      <c r="R10" s="290"/>
      <c r="S10" s="1195"/>
      <c r="T10" s="299" t="s">
        <v>447</v>
      </c>
      <c r="U10" s="301"/>
      <c r="V10" s="301"/>
      <c r="W10" s="301"/>
      <c r="X10" s="301"/>
      <c r="Y10" s="301"/>
      <c r="Z10" s="301"/>
      <c r="AA10" s="301"/>
      <c r="AB10" s="300"/>
      <c r="AC10" s="301"/>
      <c r="AD10" s="301"/>
      <c r="AE10" s="301"/>
      <c r="AF10" s="301"/>
      <c r="AG10" s="301"/>
      <c r="AH10" s="301"/>
      <c r="AI10" s="300"/>
      <c r="AJ10" s="301"/>
      <c r="AK10" s="1357"/>
      <c r="AM10" s="434"/>
      <c r="AN10" s="434" t="str">
        <f t="shared" si="0"/>
        <v>Добавить группу потребителей</v>
      </c>
      <c r="AO10" s="434"/>
      <c r="AP10" s="434"/>
      <c r="AQ10" s="1072">
        <v>0</v>
      </c>
    </row>
    <row r="11" spans="1:43" ht="14.25" hidden="1" customHeight="1">
      <c r="A11" s="1280"/>
      <c r="B11" s="1280"/>
      <c r="C11" s="1280"/>
      <c r="D11" s="1280"/>
      <c r="E11" s="3200"/>
      <c r="F11" s="3200"/>
      <c r="G11" s="3200"/>
      <c r="H11" s="3199"/>
      <c r="I11" s="1280"/>
      <c r="J11" s="1280"/>
      <c r="K11" s="1280"/>
      <c r="L11" s="1281"/>
      <c r="M11" s="1282"/>
      <c r="N11" s="1282"/>
      <c r="O11" s="471"/>
      <c r="P11" s="294"/>
      <c r="Q11" s="309"/>
      <c r="R11" s="289"/>
      <c r="S11" s="1195"/>
      <c r="T11" s="306" t="s">
        <v>521</v>
      </c>
      <c r="U11" s="301"/>
      <c r="V11" s="301"/>
      <c r="W11" s="301"/>
      <c r="X11" s="301"/>
      <c r="Y11" s="301"/>
      <c r="Z11" s="301"/>
      <c r="AA11" s="301"/>
      <c r="AB11" s="300"/>
      <c r="AC11" s="301"/>
      <c r="AD11" s="301"/>
      <c r="AE11" s="301"/>
      <c r="AF11" s="301"/>
      <c r="AG11" s="301"/>
      <c r="AH11" s="301"/>
      <c r="AI11" s="300"/>
      <c r="AJ11" s="301"/>
      <c r="AK11" s="238"/>
      <c r="AM11" s="434"/>
      <c r="AN11" s="434" t="str">
        <f t="shared" si="0"/>
        <v>Добавить наименование признака дифференциации</v>
      </c>
      <c r="AO11" s="434"/>
      <c r="AP11" s="434"/>
      <c r="AQ11" s="1072">
        <v>0</v>
      </c>
    </row>
    <row r="12" spans="1:43" s="2017" customFormat="1" ht="14.25" hidden="1" customHeight="1">
      <c r="A12" s="1260"/>
      <c r="B12" s="1260"/>
      <c r="C12" s="1231"/>
      <c r="D12" s="1231"/>
      <c r="E12" s="3200"/>
      <c r="F12" s="3199"/>
      <c r="G12" s="1231"/>
      <c r="H12" s="1231"/>
      <c r="I12" s="1231"/>
      <c r="J12" s="1231"/>
      <c r="K12" s="1231"/>
      <c r="L12" s="1343"/>
      <c r="M12" s="1238"/>
      <c r="N12" s="1238"/>
      <c r="P12" s="1233"/>
      <c r="Q12" s="1234"/>
      <c r="R12" s="1233"/>
      <c r="S12" s="1239"/>
      <c r="T12" s="1242" t="s">
        <v>181</v>
      </c>
      <c r="U12" s="1241"/>
      <c r="V12" s="1241"/>
      <c r="W12" s="1241"/>
      <c r="X12" s="1241"/>
      <c r="Y12" s="1241"/>
      <c r="Z12" s="1241"/>
      <c r="AA12" s="1241"/>
      <c r="AB12" s="1241"/>
      <c r="AC12" s="1241"/>
      <c r="AD12" s="1241"/>
      <c r="AE12" s="1241"/>
      <c r="AF12" s="1241"/>
      <c r="AG12" s="1241"/>
      <c r="AH12" s="1241"/>
      <c r="AI12" s="1241"/>
      <c r="AJ12" s="1241"/>
      <c r="AK12" s="1241"/>
      <c r="AM12" s="717"/>
      <c r="AN12" s="717" t="str">
        <f t="shared" si="0"/>
        <v>Добавить централизованную систему для дифференциации</v>
      </c>
      <c r="AO12" s="717"/>
      <c r="AP12" s="717"/>
      <c r="AQ12" s="452">
        <v>0</v>
      </c>
    </row>
    <row r="13" spans="1:43" s="2017" customFormat="1" ht="14.25" hidden="1" customHeight="1">
      <c r="A13" s="1260"/>
      <c r="B13" s="1260"/>
      <c r="C13" s="1260"/>
      <c r="D13" s="1260"/>
      <c r="E13" s="3199"/>
      <c r="F13" s="1260"/>
      <c r="G13" s="1260"/>
      <c r="H13" s="1260"/>
      <c r="I13" s="1260"/>
      <c r="J13" s="1260"/>
      <c r="K13" s="1260"/>
      <c r="L13" s="1263"/>
      <c r="M13" s="1238"/>
      <c r="N13" s="1238"/>
      <c r="O13" s="452"/>
      <c r="P13" s="314"/>
      <c r="Q13" s="1261"/>
      <c r="R13" s="314"/>
      <c r="S13" s="1239"/>
      <c r="T13" s="1242" t="s">
        <v>188</v>
      </c>
      <c r="U13" s="1241"/>
      <c r="V13" s="1241"/>
      <c r="W13" s="1241"/>
      <c r="X13" s="1241"/>
      <c r="Y13" s="1241"/>
      <c r="Z13" s="1241"/>
      <c r="AA13" s="1241"/>
      <c r="AB13" s="1241"/>
      <c r="AC13" s="1241"/>
      <c r="AD13" s="1241"/>
      <c r="AE13" s="1241"/>
      <c r="AF13" s="1241"/>
      <c r="AG13" s="1241"/>
      <c r="AH13" s="1241"/>
      <c r="AI13" s="1241"/>
      <c r="AJ13" s="1241"/>
      <c r="AK13" s="1241"/>
      <c r="AM13" s="434"/>
      <c r="AN13" s="434" t="str">
        <f t="shared" si="0"/>
        <v>Добавить территорию для дифференциации</v>
      </c>
      <c r="AO13" s="434"/>
      <c r="AP13" s="434"/>
      <c r="AQ13" s="445">
        <v>0</v>
      </c>
    </row>
    <row r="14" spans="1:43" ht="14.25" hidden="1" customHeight="1">
      <c r="AB14" s="262"/>
      <c r="AI14" s="262"/>
      <c r="AQ14" s="1072">
        <v>0</v>
      </c>
    </row>
    <row r="15" spans="1:43" ht="14.25" hidden="1" customHeight="1">
      <c r="AC15" s="1277"/>
      <c r="AD15" s="1277"/>
      <c r="AE15" s="1278"/>
      <c r="AF15" s="3204"/>
      <c r="AG15" s="3205" t="s">
        <v>67</v>
      </c>
      <c r="AH15" s="3204"/>
      <c r="AI15" s="3205" t="s">
        <v>67</v>
      </c>
      <c r="AQ15" s="1072">
        <v>0</v>
      </c>
    </row>
    <row r="16" spans="1:43" ht="14.25" hidden="1" customHeight="1">
      <c r="AC16" s="1277"/>
      <c r="AD16" s="1277"/>
      <c r="AE16" s="263" t="str">
        <f>AF15&amp;"-"&amp;AH15</f>
        <v>-</v>
      </c>
      <c r="AF16" s="3205"/>
      <c r="AG16" s="3205"/>
      <c r="AH16" s="3205"/>
      <c r="AI16" s="3205"/>
      <c r="AQ16" s="1072">
        <v>0</v>
      </c>
    </row>
    <row r="17" spans="1:43" ht="14.25" hidden="1" customHeight="1">
      <c r="AI17" s="262"/>
      <c r="AQ17" s="1072">
        <v>0</v>
      </c>
    </row>
    <row r="18" spans="1:43" s="2016" customFormat="1" ht="22.5" hidden="1" customHeight="1">
      <c r="L18" s="1338"/>
      <c r="M18" s="1279"/>
      <c r="N18" s="1279"/>
      <c r="O18" s="1284" t="s">
        <v>449</v>
      </c>
      <c r="P18" s="1279"/>
      <c r="Q18" s="1288"/>
      <c r="R18" s="1288"/>
      <c r="S18" s="663"/>
      <c r="Y18" s="1284"/>
      <c r="AA18" s="1284"/>
      <c r="AB18" s="1283"/>
      <c r="AF18" s="1284"/>
      <c r="AH18" s="1284"/>
      <c r="AI18" s="1283"/>
      <c r="AL18" s="445"/>
      <c r="AM18" s="445"/>
      <c r="AN18" s="445"/>
      <c r="AO18" s="445"/>
      <c r="AP18" s="445"/>
      <c r="AQ18" s="1077">
        <v>0</v>
      </c>
    </row>
    <row r="19" spans="1:43" s="2016" customFormat="1" ht="14.25" hidden="1" customHeight="1">
      <c r="L19" s="1338"/>
      <c r="M19" s="1279"/>
      <c r="N19" s="1279"/>
      <c r="O19" s="1279"/>
      <c r="P19" s="1279"/>
      <c r="Q19" s="1288"/>
      <c r="R19" s="1288"/>
      <c r="S19" s="663"/>
      <c r="AB19" s="1283"/>
      <c r="AI19" s="1283"/>
      <c r="AL19" s="445"/>
      <c r="AM19" s="445"/>
      <c r="AN19" s="445"/>
      <c r="AO19" s="445"/>
      <c r="AP19" s="445"/>
      <c r="AQ19" s="1077">
        <v>0</v>
      </c>
    </row>
    <row r="20" spans="1:43" s="2016" customFormat="1" ht="12" hidden="1" customHeight="1">
      <c r="L20" s="1338"/>
      <c r="M20" s="1279"/>
      <c r="N20" s="1279"/>
      <c r="O20" s="1281" t="s">
        <v>450</v>
      </c>
      <c r="P20" s="1279"/>
      <c r="Q20" s="1359"/>
      <c r="R20" s="1359"/>
      <c r="S20" s="663"/>
      <c r="T20" s="1077" t="s">
        <v>451</v>
      </c>
      <c r="Z20" s="121" t="s">
        <v>452</v>
      </c>
      <c r="AB20" s="121" t="s">
        <v>453</v>
      </c>
      <c r="AC20" s="1077" t="s">
        <v>451</v>
      </c>
      <c r="AG20" s="121" t="s">
        <v>454</v>
      </c>
      <c r="AI20" s="121" t="s">
        <v>453</v>
      </c>
      <c r="AQ20" s="1077">
        <v>0</v>
      </c>
    </row>
    <row r="21" spans="1:43" ht="14.25" hidden="1" customHeight="1">
      <c r="O21" s="1281"/>
      <c r="AQ21" s="1072">
        <v>0</v>
      </c>
    </row>
    <row r="22" spans="1:43" ht="14.25" hidden="1" customHeight="1">
      <c r="O22" s="1281"/>
      <c r="AQ22" s="1072">
        <v>0</v>
      </c>
    </row>
    <row r="23" spans="1:43" ht="14.65" customHeight="1">
      <c r="Q23" s="310"/>
      <c r="R23" s="310"/>
      <c r="S23" s="1192"/>
      <c r="T23" s="297"/>
      <c r="U23" s="297"/>
      <c r="V23" s="443"/>
      <c r="W23" s="443"/>
      <c r="X23" s="443"/>
      <c r="Y23" s="443"/>
      <c r="Z23" s="443"/>
      <c r="AA23" s="443"/>
      <c r="AB23" s="443"/>
      <c r="AC23" s="443"/>
      <c r="AD23" s="443"/>
      <c r="AE23" s="443"/>
      <c r="AF23" s="443"/>
      <c r="AG23" s="443"/>
      <c r="AH23" s="443"/>
      <c r="AI23" s="443"/>
      <c r="AQ23" s="1072">
        <v>14</v>
      </c>
    </row>
    <row r="24" spans="1:43" ht="14.65" customHeight="1">
      <c r="Q24" s="310"/>
      <c r="R24" s="310"/>
      <c r="S24" s="3183"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3183"/>
      <c r="U24" s="3183"/>
      <c r="V24" s="3183"/>
      <c r="W24" s="3183"/>
      <c r="X24" s="3183"/>
      <c r="Y24" s="3183"/>
      <c r="Z24" s="3183"/>
      <c r="AA24" s="3183"/>
      <c r="AB24" s="3183"/>
      <c r="AC24" s="3183"/>
      <c r="AD24" s="3183"/>
      <c r="AE24" s="3183"/>
      <c r="AF24" s="3183"/>
      <c r="AG24" s="3183"/>
      <c r="AH24" s="3183"/>
      <c r="AI24" s="1160"/>
      <c r="AQ24" s="1072">
        <v>14</v>
      </c>
    </row>
    <row r="25" spans="1:43" ht="14.65" customHeight="1">
      <c r="Q25" s="310"/>
      <c r="R25" s="310"/>
      <c r="S25" s="3131" t="str">
        <f>IF(org=0,"Не определено",org)</f>
        <v>ООО "РСО"</v>
      </c>
      <c r="T25" s="3131"/>
      <c r="U25" s="3131"/>
      <c r="V25" s="3131"/>
      <c r="W25" s="3131"/>
      <c r="X25" s="3131"/>
      <c r="Y25" s="3131"/>
      <c r="Z25" s="3131"/>
      <c r="AA25" s="3131"/>
      <c r="AB25" s="3131"/>
      <c r="AC25" s="3131"/>
      <c r="AD25" s="3131"/>
      <c r="AE25" s="3131"/>
      <c r="AF25" s="3131"/>
      <c r="AG25" s="3131"/>
      <c r="AH25" s="3131"/>
      <c r="AI25" s="1160"/>
      <c r="AQ25" s="1072">
        <v>14</v>
      </c>
    </row>
    <row r="26" spans="1:43" ht="14.25" hidden="1" customHeight="1">
      <c r="Q26" s="310"/>
      <c r="R26" s="310"/>
      <c r="S26" s="1192"/>
      <c r="T26" s="297"/>
      <c r="U26" s="297"/>
      <c r="V26" s="257"/>
      <c r="W26" s="257"/>
      <c r="X26" s="257"/>
      <c r="Y26" s="257"/>
      <c r="Z26" s="257"/>
      <c r="AA26" s="257"/>
      <c r="AB26" s="257"/>
      <c r="AC26" s="257"/>
      <c r="AD26" s="257"/>
      <c r="AE26" s="257"/>
      <c r="AF26" s="257"/>
      <c r="AG26" s="257"/>
      <c r="AH26" s="257"/>
      <c r="AI26" s="257"/>
      <c r="AJ26" s="443"/>
      <c r="AQ26" s="1072">
        <v>0</v>
      </c>
    </row>
    <row r="27" spans="1:43" s="2028" customFormat="1" ht="25.5" hidden="1" customHeight="1">
      <c r="A27" s="1285"/>
      <c r="B27" s="1285"/>
      <c r="C27" s="1285"/>
      <c r="D27" s="1285"/>
      <c r="E27" s="1285"/>
      <c r="F27" s="1285"/>
      <c r="G27" s="1285"/>
      <c r="H27" s="1285"/>
      <c r="I27" s="1285"/>
      <c r="J27" s="1285"/>
      <c r="K27" s="1285"/>
      <c r="L27" s="1286"/>
      <c r="M27" s="1285"/>
      <c r="N27" s="1285"/>
      <c r="O27" s="1285"/>
      <c r="S27" s="3191" t="s">
        <v>42</v>
      </c>
      <c r="T27" s="3191"/>
      <c r="U27" s="1289"/>
      <c r="V27" s="3192" t="str">
        <f>IF(TITLE_NAME_OR_PR_CHANGE="",IF(TITLE_NAME_OR_PR="","",TITLE_NAME_OR_PR),TITLE_NAME_OR_PR_CHANGE)</f>
        <v/>
      </c>
      <c r="W27" s="3192"/>
      <c r="X27" s="3192"/>
      <c r="Y27" s="3192"/>
      <c r="Z27" s="3192"/>
      <c r="AA27" s="3192"/>
      <c r="AB27" s="261"/>
      <c r="AC27" s="3192" t="str">
        <f>IF(TITLE_NAME_OR_PR_CHANGE="",IF(TITLE_NAME_OR_PR="","",TITLE_NAME_OR_PR),TITLE_NAME_OR_PR_CHANGE)</f>
        <v/>
      </c>
      <c r="AD27" s="3192"/>
      <c r="AE27" s="3192"/>
      <c r="AF27" s="3192"/>
      <c r="AG27" s="3192"/>
      <c r="AH27" s="3192"/>
      <c r="AI27" s="261"/>
      <c r="AJ27" s="261"/>
      <c r="AK27" s="215"/>
      <c r="AL27" s="302"/>
      <c r="AM27" s="302"/>
      <c r="AN27" s="302"/>
      <c r="AO27" s="302"/>
      <c r="AP27" s="302"/>
      <c r="AQ27" s="352">
        <v>0</v>
      </c>
    </row>
    <row r="28" spans="1:43" s="2028" customFormat="1" ht="18.75" hidden="1" customHeight="1">
      <c r="A28" s="1285"/>
      <c r="B28" s="1285"/>
      <c r="C28" s="1285"/>
      <c r="D28" s="1285"/>
      <c r="E28" s="1285"/>
      <c r="F28" s="1285"/>
      <c r="G28" s="1285"/>
      <c r="H28" s="1285"/>
      <c r="I28" s="1285"/>
      <c r="J28" s="1285"/>
      <c r="K28" s="1285"/>
      <c r="L28" s="1286"/>
      <c r="M28" s="1285"/>
      <c r="N28" s="1285"/>
      <c r="O28" s="1285"/>
      <c r="S28" s="3191" t="s">
        <v>455</v>
      </c>
      <c r="T28" s="3191"/>
      <c r="U28" s="1289"/>
      <c r="V28" s="3201">
        <f>IF(TITLE_DATE_PR_CHANGE="",IF(TITLE_DATE_PR="","",TITLE_DATE_PR),TITLE_DATE_PR_CHANGE)</f>
        <v>45408</v>
      </c>
      <c r="W28" s="3201"/>
      <c r="X28" s="3201"/>
      <c r="Y28" s="3201"/>
      <c r="Z28" s="3201"/>
      <c r="AA28" s="3201"/>
      <c r="AB28" s="261"/>
      <c r="AC28" s="3201">
        <f>IF(TITLE_DATE_PR_CHANGE="",IF(TITLE_DATE_PR="","",TITLE_DATE_PR),TITLE_DATE_PR_CHANGE)</f>
        <v>45408</v>
      </c>
      <c r="AD28" s="3201"/>
      <c r="AE28" s="3201"/>
      <c r="AF28" s="3201"/>
      <c r="AG28" s="3201"/>
      <c r="AH28" s="3201"/>
      <c r="AI28" s="261"/>
      <c r="AJ28" s="261"/>
      <c r="AK28" s="215"/>
      <c r="AL28" s="302"/>
      <c r="AM28" s="302"/>
      <c r="AN28" s="302"/>
      <c r="AO28" s="302"/>
      <c r="AP28" s="302"/>
      <c r="AQ28" s="352">
        <v>0</v>
      </c>
    </row>
    <row r="29" spans="1:43" s="2028" customFormat="1" ht="18.75" hidden="1" customHeight="1">
      <c r="A29" s="1285"/>
      <c r="B29" s="1285"/>
      <c r="C29" s="1285"/>
      <c r="D29" s="1285"/>
      <c r="E29" s="1285"/>
      <c r="F29" s="1285"/>
      <c r="G29" s="1285"/>
      <c r="H29" s="1285"/>
      <c r="I29" s="1285"/>
      <c r="J29" s="1285"/>
      <c r="K29" s="1285"/>
      <c r="L29" s="1286"/>
      <c r="M29" s="1285"/>
      <c r="N29" s="1285"/>
      <c r="O29" s="1285"/>
      <c r="S29" s="3191" t="s">
        <v>456</v>
      </c>
      <c r="T29" s="3191"/>
      <c r="U29" s="1289"/>
      <c r="V29" s="3192" t="str">
        <f>IF(TITLE_NUMBER_PR_CHANGE="",IF(TITLE_NUMBER_PR="","",TITLE_NUMBER_PR),TITLE_NUMBER_PR_CHANGE)</f>
        <v>04-24/132, 04-24/131</v>
      </c>
      <c r="W29" s="3192"/>
      <c r="X29" s="3192"/>
      <c r="Y29" s="3192"/>
      <c r="Z29" s="3192"/>
      <c r="AA29" s="3192"/>
      <c r="AB29" s="261"/>
      <c r="AC29" s="3192" t="str">
        <f>IF(TITLE_NUMBER_PR_CHANGE="",IF(TITLE_NUMBER_PR="","",TITLE_NUMBER_PR),TITLE_NUMBER_PR_CHANGE)</f>
        <v>04-24/132, 04-24/131</v>
      </c>
      <c r="AD29" s="3192"/>
      <c r="AE29" s="3192"/>
      <c r="AF29" s="3192"/>
      <c r="AG29" s="3192"/>
      <c r="AH29" s="3192"/>
      <c r="AI29" s="261"/>
      <c r="AJ29" s="261"/>
      <c r="AK29" s="215"/>
      <c r="AL29" s="302"/>
      <c r="AM29" s="302"/>
      <c r="AN29" s="302"/>
      <c r="AO29" s="302"/>
      <c r="AP29" s="302"/>
      <c r="AQ29" s="352">
        <v>0</v>
      </c>
    </row>
    <row r="30" spans="1:43" s="2028" customFormat="1" ht="18.75" hidden="1" customHeight="1">
      <c r="A30" s="1285"/>
      <c r="B30" s="1285"/>
      <c r="C30" s="1285"/>
      <c r="D30" s="1285"/>
      <c r="E30" s="1285"/>
      <c r="F30" s="1285"/>
      <c r="G30" s="1285"/>
      <c r="H30" s="1285"/>
      <c r="I30" s="1285"/>
      <c r="J30" s="1285"/>
      <c r="K30" s="1285"/>
      <c r="L30" s="1286"/>
      <c r="M30" s="1285"/>
      <c r="N30" s="1285"/>
      <c r="O30" s="1285"/>
      <c r="S30" s="3191" t="s">
        <v>43</v>
      </c>
      <c r="T30" s="3191"/>
      <c r="U30" s="1289"/>
      <c r="V30" s="3192" t="str">
        <f>IF(TITLE_IST_PUB_CHANGE="",IF(TITLE_IST_PUB="","",TITLE_IST_PUB),TITLE_IST_PUB_CHANGE)</f>
        <v/>
      </c>
      <c r="W30" s="3192"/>
      <c r="X30" s="3192"/>
      <c r="Y30" s="3192"/>
      <c r="Z30" s="3192"/>
      <c r="AA30" s="3192"/>
      <c r="AB30" s="261"/>
      <c r="AC30" s="3192" t="str">
        <f>IF(TITLE_IST_PUB_CHANGE="",IF(TITLE_IST_PUB="","",TITLE_IST_PUB),TITLE_IST_PUB_CHANGE)</f>
        <v/>
      </c>
      <c r="AD30" s="3192"/>
      <c r="AE30" s="3192"/>
      <c r="AF30" s="3192"/>
      <c r="AG30" s="3192"/>
      <c r="AH30" s="3192"/>
      <c r="AI30" s="261"/>
      <c r="AJ30" s="261"/>
      <c r="AK30" s="215"/>
      <c r="AL30" s="302"/>
      <c r="AM30" s="302"/>
      <c r="AN30" s="302"/>
      <c r="AO30" s="302"/>
      <c r="AP30" s="302"/>
      <c r="AQ30" s="352">
        <v>0</v>
      </c>
    </row>
    <row r="31" spans="1:43" ht="14.25" customHeight="1">
      <c r="Q31" s="310"/>
      <c r="R31" s="310"/>
      <c r="S31" s="1192"/>
      <c r="T31" s="297"/>
      <c r="U31" s="297"/>
      <c r="V31" s="257"/>
      <c r="W31" s="257"/>
      <c r="X31" s="257"/>
      <c r="Y31" s="257"/>
      <c r="Z31" s="257"/>
      <c r="AA31" s="257"/>
      <c r="AB31" s="257"/>
      <c r="AC31" s="257"/>
      <c r="AD31" s="257"/>
      <c r="AE31" s="257"/>
      <c r="AF31" s="257"/>
      <c r="AG31" s="257"/>
      <c r="AH31" s="257"/>
      <c r="AI31" s="257"/>
      <c r="AJ31" s="443"/>
      <c r="AQ31" s="1072">
        <v>0</v>
      </c>
    </row>
    <row r="32" spans="1:43" s="2028" customFormat="1" ht="18.75" customHeight="1">
      <c r="A32" s="1285"/>
      <c r="B32" s="1285"/>
      <c r="C32" s="1285"/>
      <c r="D32" s="1285"/>
      <c r="E32" s="1285"/>
      <c r="F32" s="1285"/>
      <c r="G32" s="1285"/>
      <c r="H32" s="1285"/>
      <c r="I32" s="1285"/>
      <c r="J32" s="1285"/>
      <c r="K32" s="1285"/>
      <c r="L32" s="1286"/>
      <c r="M32" s="1285"/>
      <c r="N32" s="1285"/>
      <c r="O32" s="1285"/>
      <c r="S32" s="3191" t="s">
        <v>457</v>
      </c>
      <c r="T32" s="3191"/>
      <c r="U32" s="1289"/>
      <c r="V32" s="3201">
        <f>IF(TITLE_DATE_PR_CHANGE="",IF(TITLE_DATE_PR="","",TITLE_DATE_PR),TITLE_DATE_PR_CHANGE)</f>
        <v>45408</v>
      </c>
      <c r="W32" s="3201"/>
      <c r="X32" s="3201"/>
      <c r="Y32" s="3201"/>
      <c r="Z32" s="3201"/>
      <c r="AA32" s="3201"/>
      <c r="AB32" s="261"/>
      <c r="AC32" s="3201">
        <f>IF(TITLE_DATE_PR_CHANGE="",IF(TITLE_DATE_PR="","",TITLE_DATE_PR),TITLE_DATE_PR_CHANGE)</f>
        <v>45408</v>
      </c>
      <c r="AD32" s="3201"/>
      <c r="AE32" s="3201"/>
      <c r="AF32" s="3201"/>
      <c r="AG32" s="3201"/>
      <c r="AH32" s="3201"/>
      <c r="AI32" s="261"/>
      <c r="AJ32" s="261"/>
      <c r="AK32" s="215"/>
      <c r="AL32" s="302"/>
      <c r="AM32" s="302"/>
      <c r="AN32" s="302"/>
      <c r="AO32" s="302"/>
      <c r="AP32" s="302"/>
      <c r="AQ32" s="352">
        <v>0</v>
      </c>
    </row>
    <row r="33" spans="1:43" s="2028" customFormat="1" ht="18.75" customHeight="1">
      <c r="A33" s="1285"/>
      <c r="B33" s="1285"/>
      <c r="C33" s="1285"/>
      <c r="D33" s="1285"/>
      <c r="E33" s="1285"/>
      <c r="F33" s="1285"/>
      <c r="G33" s="1285"/>
      <c r="H33" s="1285"/>
      <c r="I33" s="1285"/>
      <c r="J33" s="1285"/>
      <c r="K33" s="1285"/>
      <c r="L33" s="1286"/>
      <c r="M33" s="1285"/>
      <c r="N33" s="1285"/>
      <c r="O33" s="1285"/>
      <c r="S33" s="3191" t="s">
        <v>458</v>
      </c>
      <c r="T33" s="3191"/>
      <c r="U33" s="1289"/>
      <c r="V33" s="3192" t="str">
        <f>IF(TITLE_NUMBER_PR_CHANGE="",IF(TITLE_NUMBER_PR="","",TITLE_NUMBER_PR),TITLE_NUMBER_PR_CHANGE)</f>
        <v>04-24/132, 04-24/131</v>
      </c>
      <c r="W33" s="3192"/>
      <c r="X33" s="3192"/>
      <c r="Y33" s="3192"/>
      <c r="Z33" s="3192"/>
      <c r="AA33" s="3192"/>
      <c r="AB33" s="261"/>
      <c r="AC33" s="3192" t="str">
        <f>IF(TITLE_NUMBER_PR_CHANGE="",IF(TITLE_NUMBER_PR="","",TITLE_NUMBER_PR),TITLE_NUMBER_PR_CHANGE)</f>
        <v>04-24/132, 04-24/131</v>
      </c>
      <c r="AD33" s="3192"/>
      <c r="AE33" s="3192"/>
      <c r="AF33" s="3192"/>
      <c r="AG33" s="3192"/>
      <c r="AH33" s="3192"/>
      <c r="AI33" s="261"/>
      <c r="AJ33" s="261"/>
      <c r="AK33" s="215"/>
      <c r="AL33" s="302"/>
      <c r="AM33" s="302"/>
      <c r="AN33" s="302"/>
      <c r="AO33" s="302"/>
      <c r="AP33" s="302"/>
      <c r="AQ33" s="352">
        <v>0</v>
      </c>
    </row>
    <row r="34" spans="1:43" s="2028" customFormat="1" ht="1" customHeight="1">
      <c r="A34" s="1285"/>
      <c r="B34" s="1285"/>
      <c r="C34" s="1285"/>
      <c r="D34" s="1285"/>
      <c r="E34" s="1285"/>
      <c r="F34" s="1285"/>
      <c r="G34" s="1285"/>
      <c r="H34" s="1285"/>
      <c r="I34" s="1285"/>
      <c r="J34" s="1285"/>
      <c r="K34" s="1285"/>
      <c r="L34" s="1286"/>
      <c r="M34" s="1285"/>
      <c r="N34" s="1285"/>
      <c r="O34" s="1285"/>
      <c r="S34" s="258"/>
      <c r="T34" s="258"/>
      <c r="U34" s="1272"/>
      <c r="V34" s="261"/>
      <c r="W34" s="261"/>
      <c r="X34" s="261"/>
      <c r="Y34" s="261"/>
      <c r="Z34" s="261"/>
      <c r="AA34" s="261"/>
      <c r="AB34" s="213" t="s">
        <v>459</v>
      </c>
      <c r="AC34" s="261"/>
      <c r="AD34" s="261"/>
      <c r="AE34" s="261"/>
      <c r="AF34" s="261"/>
      <c r="AG34" s="261"/>
      <c r="AH34" s="261"/>
      <c r="AI34" s="213" t="s">
        <v>459</v>
      </c>
      <c r="AL34" s="302"/>
      <c r="AM34" s="302"/>
      <c r="AN34" s="302"/>
      <c r="AO34" s="302"/>
      <c r="AP34" s="302"/>
      <c r="AQ34" s="352">
        <v>1</v>
      </c>
    </row>
    <row r="35" spans="1:43" ht="14.65" customHeight="1">
      <c r="Q35" s="310"/>
      <c r="R35" s="310"/>
      <c r="S35" s="1192"/>
      <c r="T35" s="297"/>
      <c r="U35" s="1161"/>
      <c r="V35" s="3193"/>
      <c r="W35" s="3193"/>
      <c r="X35" s="3193"/>
      <c r="Y35" s="3193"/>
      <c r="Z35" s="3193"/>
      <c r="AA35" s="3193"/>
      <c r="AB35" s="3193"/>
      <c r="AC35" s="3193"/>
      <c r="AD35" s="3193"/>
      <c r="AE35" s="3193"/>
      <c r="AF35" s="3193"/>
      <c r="AG35" s="3193"/>
      <c r="AH35" s="3193"/>
      <c r="AI35" s="3193"/>
      <c r="AQ35" s="1072">
        <v>14</v>
      </c>
    </row>
    <row r="36" spans="1:43" ht="14.65" customHeight="1">
      <c r="Q36" s="310"/>
      <c r="R36" s="310"/>
      <c r="S36" s="3067" t="s">
        <v>335</v>
      </c>
      <c r="T36" s="3067"/>
      <c r="U36" s="3067"/>
      <c r="V36" s="3067"/>
      <c r="W36" s="3067"/>
      <c r="X36" s="3067"/>
      <c r="Y36" s="3067"/>
      <c r="Z36" s="3067"/>
      <c r="AA36" s="3067"/>
      <c r="AB36" s="3067"/>
      <c r="AC36" s="3067"/>
      <c r="AD36" s="3067"/>
      <c r="AE36" s="3067"/>
      <c r="AF36" s="3067"/>
      <c r="AG36" s="3067"/>
      <c r="AH36" s="3067"/>
      <c r="AI36" s="3067"/>
      <c r="AJ36" s="3067"/>
      <c r="AK36" s="3067" t="s">
        <v>336</v>
      </c>
      <c r="AQ36" s="1072">
        <v>14</v>
      </c>
    </row>
    <row r="37" spans="1:43" ht="14.65" customHeight="1">
      <c r="Q37" s="310"/>
      <c r="R37" s="310"/>
      <c r="S37" s="3207" t="s">
        <v>89</v>
      </c>
      <c r="T37" s="3159" t="s">
        <v>460</v>
      </c>
      <c r="U37" s="236"/>
      <c r="V37" s="3208" t="s">
        <v>461</v>
      </c>
      <c r="W37" s="3209"/>
      <c r="X37" s="3209"/>
      <c r="Y37" s="3209"/>
      <c r="Z37" s="3209"/>
      <c r="AA37" s="3210"/>
      <c r="AB37" s="3211" t="s">
        <v>462</v>
      </c>
      <c r="AC37" s="3208" t="s">
        <v>461</v>
      </c>
      <c r="AD37" s="3209"/>
      <c r="AE37" s="3209"/>
      <c r="AF37" s="3209"/>
      <c r="AG37" s="3209"/>
      <c r="AH37" s="3210"/>
      <c r="AI37" s="3211" t="s">
        <v>463</v>
      </c>
      <c r="AJ37" s="3214" t="s">
        <v>464</v>
      </c>
      <c r="AK37" s="3067"/>
      <c r="AQ37" s="1072">
        <v>14</v>
      </c>
    </row>
    <row r="38" spans="1:43" ht="35.65" customHeight="1">
      <c r="Q38" s="310"/>
      <c r="R38" s="310"/>
      <c r="S38" s="3207"/>
      <c r="T38" s="3159"/>
      <c r="U38" s="952"/>
      <c r="V38" s="1269" t="s">
        <v>522</v>
      </c>
      <c r="W38" s="3038" t="s">
        <v>467</v>
      </c>
      <c r="X38" s="3037"/>
      <c r="Y38" s="3038" t="s">
        <v>468</v>
      </c>
      <c r="Z38" s="3044"/>
      <c r="AA38" s="3037"/>
      <c r="AB38" s="3212"/>
      <c r="AC38" s="1269" t="s">
        <v>522</v>
      </c>
      <c r="AD38" s="3038" t="s">
        <v>467</v>
      </c>
      <c r="AE38" s="3037"/>
      <c r="AF38" s="3038" t="s">
        <v>468</v>
      </c>
      <c r="AG38" s="3044"/>
      <c r="AH38" s="3037"/>
      <c r="AI38" s="3212"/>
      <c r="AJ38" s="3215"/>
      <c r="AK38" s="3067"/>
      <c r="AQ38" s="1072">
        <v>34</v>
      </c>
    </row>
    <row r="39" spans="1:43" ht="35.65" customHeight="1">
      <c r="A39" s="1287"/>
      <c r="B39" s="1287" t="s">
        <v>149</v>
      </c>
      <c r="C39" s="1287" t="s">
        <v>150</v>
      </c>
      <c r="D39" s="1287" t="s">
        <v>151</v>
      </c>
      <c r="E39" s="1281" t="s">
        <v>469</v>
      </c>
      <c r="F39" s="1281" t="s">
        <v>470</v>
      </c>
      <c r="G39" s="1281" t="s">
        <v>471</v>
      </c>
      <c r="H39" s="1281"/>
      <c r="I39" s="1281" t="s">
        <v>523</v>
      </c>
      <c r="J39" s="1281" t="s">
        <v>474</v>
      </c>
      <c r="K39" s="1281" t="s">
        <v>524</v>
      </c>
      <c r="L39" s="1281" t="s">
        <v>450</v>
      </c>
      <c r="Q39" s="310"/>
      <c r="R39" s="310"/>
      <c r="S39" s="3207"/>
      <c r="T39" s="3159"/>
      <c r="U39" s="237"/>
      <c r="V39" s="1269" t="s">
        <v>525</v>
      </c>
      <c r="W39" s="1139" t="s">
        <v>526</v>
      </c>
      <c r="X39" s="1139" t="s">
        <v>527</v>
      </c>
      <c r="Y39" s="1274" t="s">
        <v>478</v>
      </c>
      <c r="Z39" s="3167" t="s">
        <v>479</v>
      </c>
      <c r="AA39" s="3169"/>
      <c r="AB39" s="3213"/>
      <c r="AC39" s="1269" t="s">
        <v>525</v>
      </c>
      <c r="AD39" s="1139" t="s">
        <v>526</v>
      </c>
      <c r="AE39" s="1139" t="s">
        <v>527</v>
      </c>
      <c r="AF39" s="1274" t="s">
        <v>478</v>
      </c>
      <c r="AG39" s="3167" t="s">
        <v>479</v>
      </c>
      <c r="AH39" s="3169"/>
      <c r="AI39" s="3213"/>
      <c r="AJ39" s="3216"/>
      <c r="AK39" s="3067"/>
      <c r="AQ39" s="1072">
        <v>34</v>
      </c>
    </row>
    <row r="40" spans="1:43" s="2212" customFormat="1" ht="11.25" hidden="1" customHeight="1">
      <c r="A40" s="1287"/>
      <c r="B40" s="1287"/>
      <c r="C40" s="1287"/>
      <c r="D40" s="1287"/>
      <c r="E40" s="1287"/>
      <c r="F40" s="1287"/>
      <c r="G40" s="1287"/>
      <c r="H40" s="1287"/>
      <c r="I40" s="1287"/>
      <c r="J40" s="1287"/>
      <c r="K40" s="1287"/>
      <c r="L40" s="1281"/>
      <c r="M40" s="1279"/>
      <c r="N40" s="1279"/>
      <c r="O40" s="1279"/>
      <c r="P40" s="1163"/>
      <c r="Q40" s="1164"/>
      <c r="R40" s="1171">
        <v>1</v>
      </c>
      <c r="S40" s="1194" t="s">
        <v>124</v>
      </c>
      <c r="T40" s="1172" t="s">
        <v>104</v>
      </c>
      <c r="U40" s="1162" t="str">
        <f ca="1">OFFSET(U40,0,-1)</f>
        <v>2</v>
      </c>
      <c r="V40" s="1270">
        <f ca="1">OFFSET(V40,0,-1)+1</f>
        <v>3</v>
      </c>
      <c r="W40" s="1270">
        <f ca="1">OFFSET(W40,0,-1)+1</f>
        <v>4</v>
      </c>
      <c r="X40" s="1270">
        <f ca="1">OFFSET(X40,0,-1)+1</f>
        <v>5</v>
      </c>
      <c r="Y40" s="1270">
        <f ca="1">OFFSET(Y40,0,-1)+1</f>
        <v>6</v>
      </c>
      <c r="Z40" s="3206">
        <f ca="1">OFFSET(Z40,0,-1)+1</f>
        <v>7</v>
      </c>
      <c r="AA40" s="3206"/>
      <c r="AB40" s="1270">
        <f ca="1">OFFSET(AB40,0,-2)+1</f>
        <v>8</v>
      </c>
      <c r="AC40" s="1270">
        <f ca="1">OFFSET(AC40,0,-1)+1</f>
        <v>9</v>
      </c>
      <c r="AD40" s="1270">
        <f ca="1">OFFSET(AD40,0,-1)+1</f>
        <v>10</v>
      </c>
      <c r="AE40" s="1270">
        <f ca="1">OFFSET(AE40,0,-1)+1</f>
        <v>11</v>
      </c>
      <c r="AF40" s="1270">
        <f ca="1">OFFSET(AF40,0,-1)+1</f>
        <v>12</v>
      </c>
      <c r="AG40" s="3206">
        <f ca="1">OFFSET(AG40,0,-1)+1</f>
        <v>13</v>
      </c>
      <c r="AH40" s="3206"/>
      <c r="AI40" s="1270">
        <f ca="1">OFFSET(AI40,0,-2)+1</f>
        <v>14</v>
      </c>
      <c r="AJ40" s="1162">
        <f ca="1">OFFSET(AJ40,0,-1)</f>
        <v>14</v>
      </c>
      <c r="AK40" s="1270">
        <f ca="1">OFFSET(AK40,0,-1)+1</f>
        <v>15</v>
      </c>
      <c r="AL40" s="445"/>
      <c r="AM40" s="445"/>
      <c r="AN40" s="445"/>
      <c r="AO40" s="445"/>
      <c r="AP40" s="445"/>
      <c r="AQ40" s="430">
        <v>0</v>
      </c>
    </row>
    <row r="41" spans="1:43" ht="24" customHeight="1">
      <c r="A41" s="1280" t="s">
        <v>261</v>
      </c>
      <c r="B41" s="1280"/>
      <c r="C41" s="1280"/>
      <c r="D41" s="1280"/>
      <c r="E41" s="3199">
        <v>1</v>
      </c>
      <c r="F41" s="1280"/>
      <c r="G41" s="1280"/>
      <c r="H41" s="1280"/>
      <c r="I41" s="1280"/>
      <c r="J41" s="1280"/>
      <c r="K41" s="1280"/>
      <c r="L41" s="1281"/>
      <c r="M41" s="1282"/>
      <c r="N41" s="1282"/>
      <c r="O41" s="1282"/>
      <c r="P41" s="295"/>
      <c r="Q41" s="294"/>
      <c r="R41" s="289"/>
      <c r="S41" s="1275">
        <f>INDEX(PT_DIFFERENTIATION_NUM_NTAR,MATCH(A41,PT_DIFFERENTIATION_NTAR_ID,0))</f>
        <v>0</v>
      </c>
      <c r="T41" s="233" t="s">
        <v>137</v>
      </c>
      <c r="U41" s="235"/>
      <c r="V41" s="3185"/>
      <c r="W41" s="3186"/>
      <c r="X41" s="3186"/>
      <c r="Y41" s="3186"/>
      <c r="Z41" s="3186"/>
      <c r="AA41" s="3186"/>
      <c r="AB41" s="3187"/>
      <c r="AC41" s="3185" t="str">
        <f>INDEX(PT_DIFFERENTIATION_NTAR,MATCH(A41,PT_DIFFERENTIATION_NTAR_ID,0))</f>
        <v/>
      </c>
      <c r="AD41" s="3186"/>
      <c r="AE41" s="3186"/>
      <c r="AF41" s="3186"/>
      <c r="AG41" s="3186"/>
      <c r="AH41" s="3186"/>
      <c r="AI41" s="3186"/>
      <c r="AJ41" s="3187"/>
      <c r="AK41"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4"/>
      <c r="AN41" s="434" t="str">
        <f t="shared" ref="AN41:AN53" si="1">IF(T41="","",T41)</f>
        <v>Наименование тарифа</v>
      </c>
      <c r="AO41" s="434"/>
      <c r="AP41" s="434"/>
      <c r="AQ41" s="1072">
        <v>23</v>
      </c>
    </row>
    <row r="42" spans="1:43" ht="24" customHeight="1">
      <c r="A42" s="1280" t="s">
        <v>261</v>
      </c>
      <c r="B42" s="1280" t="s">
        <v>262</v>
      </c>
      <c r="C42" s="1280"/>
      <c r="D42" s="1280"/>
      <c r="E42" s="3200"/>
      <c r="F42" s="3199">
        <v>1</v>
      </c>
      <c r="G42" s="1280"/>
      <c r="H42" s="1280"/>
      <c r="I42" s="1280"/>
      <c r="J42" s="1280"/>
      <c r="K42" s="1280"/>
      <c r="L42" s="1281"/>
      <c r="M42" s="1282"/>
      <c r="N42" s="1282"/>
      <c r="O42" s="1282"/>
      <c r="P42" s="1273"/>
      <c r="Q42" s="286"/>
      <c r="R42" s="287"/>
      <c r="S42" s="1275" t="str">
        <f>INDEX(PT_DIFFERENTIATION_NUM_TER,MATCH(B42,PT_DIFFERENTIATION_TER_ID,0))</f>
        <v>.</v>
      </c>
      <c r="T42" s="243" t="s">
        <v>432</v>
      </c>
      <c r="U42" s="235"/>
      <c r="V42" s="3185"/>
      <c r="W42" s="3186"/>
      <c r="X42" s="3186"/>
      <c r="Y42" s="3186"/>
      <c r="Z42" s="3186"/>
      <c r="AA42" s="3186"/>
      <c r="AB42" s="3187"/>
      <c r="AC42" s="3185" t="str">
        <f>INDEX(PT_DIFFERENTIATION_TER,MATCH(B42,PT_DIFFERENTIATION_TER_ID,0))</f>
        <v/>
      </c>
      <c r="AD42" s="3186"/>
      <c r="AE42" s="3186"/>
      <c r="AF42" s="3186"/>
      <c r="AG42" s="3186"/>
      <c r="AH42" s="3186"/>
      <c r="AI42" s="3186"/>
      <c r="AJ42" s="3187"/>
      <c r="AK42" s="1175" t="s">
        <v>433</v>
      </c>
      <c r="AM42" s="434"/>
      <c r="AN42" s="434" t="str">
        <f t="shared" si="1"/>
        <v>Территория действия тарифа</v>
      </c>
      <c r="AO42" s="434"/>
      <c r="AP42" s="434"/>
      <c r="AQ42" s="1072">
        <v>23</v>
      </c>
    </row>
    <row r="43" spans="1:43" ht="24" customHeight="1">
      <c r="A43" s="1280" t="s">
        <v>261</v>
      </c>
      <c r="B43" s="1280" t="s">
        <v>262</v>
      </c>
      <c r="C43" s="1280" t="s">
        <v>263</v>
      </c>
      <c r="D43" s="1280"/>
      <c r="E43" s="3200"/>
      <c r="F43" s="3200"/>
      <c r="G43" s="3199">
        <v>1</v>
      </c>
      <c r="H43" s="1280"/>
      <c r="I43" s="1280"/>
      <c r="J43" s="1280"/>
      <c r="K43" s="1280"/>
      <c r="L43" s="1281"/>
      <c r="M43" s="1282"/>
      <c r="N43" s="1282"/>
      <c r="O43" s="1282"/>
      <c r="P43" s="288"/>
      <c r="Q43" s="286"/>
      <c r="R43" s="287"/>
      <c r="S43" s="1275" t="str">
        <f>INDEX(PT_DIFFERENTIATION_NUM_CS,MATCH(C43,PT_DIFFERENTIATION_CS_ID,0))</f>
        <v>..</v>
      </c>
      <c r="T43" s="244" t="s">
        <v>514</v>
      </c>
      <c r="U43" s="235"/>
      <c r="V43" s="3185"/>
      <c r="W43" s="3186"/>
      <c r="X43" s="3186"/>
      <c r="Y43" s="3186"/>
      <c r="Z43" s="3186"/>
      <c r="AA43" s="3186"/>
      <c r="AB43" s="3187"/>
      <c r="AC43" s="3185" t="str">
        <f>INDEX(PT_DIFFERENTIATION_CS,MATCH(C43,PT_DIFFERENTIATION_CS_ID,0))</f>
        <v/>
      </c>
      <c r="AD43" s="3186"/>
      <c r="AE43" s="3186"/>
      <c r="AF43" s="3186"/>
      <c r="AG43" s="3186"/>
      <c r="AH43" s="3186"/>
      <c r="AI43" s="3186"/>
      <c r="AJ43" s="3187"/>
      <c r="AK43" s="1175" t="s">
        <v>515</v>
      </c>
      <c r="AM43" s="434"/>
      <c r="AN43" s="434" t="str">
        <f t="shared" si="1"/>
        <v>Наименование централизованной системы холодного водоснабжения</v>
      </c>
      <c r="AO43" s="434"/>
      <c r="AP43" s="434"/>
      <c r="AQ43" s="1072">
        <v>23</v>
      </c>
    </row>
    <row r="44" spans="1:43" ht="24" customHeight="1">
      <c r="A44" s="1280" t="s">
        <v>261</v>
      </c>
      <c r="B44" s="1280" t="s">
        <v>262</v>
      </c>
      <c r="C44" s="1280" t="s">
        <v>263</v>
      </c>
      <c r="D44" s="1280" t="s">
        <v>528</v>
      </c>
      <c r="E44" s="3200"/>
      <c r="F44" s="3200"/>
      <c r="G44" s="3200"/>
      <c r="H44" s="3200"/>
      <c r="I44" s="3197" t="str">
        <f>S43&amp;".1"</f>
        <v>...1</v>
      </c>
      <c r="J44" s="1280"/>
      <c r="K44" s="1280"/>
      <c r="L44" s="1281"/>
      <c r="P44" s="3198">
        <v>1</v>
      </c>
      <c r="Q44" s="1271"/>
      <c r="R44" s="290"/>
      <c r="S44" s="1275" t="str">
        <f>$I44</f>
        <v>...1</v>
      </c>
      <c r="T44" s="220" t="s">
        <v>516</v>
      </c>
      <c r="U44" s="235"/>
      <c r="V44" s="3266"/>
      <c r="W44" s="3267"/>
      <c r="X44" s="3267"/>
      <c r="Y44" s="3267"/>
      <c r="Z44" s="3267"/>
      <c r="AA44" s="3267"/>
      <c r="AB44" s="3268"/>
      <c r="AC44" s="3269"/>
      <c r="AD44" s="3270"/>
      <c r="AE44" s="3270"/>
      <c r="AF44" s="3270"/>
      <c r="AG44" s="3270"/>
      <c r="AH44" s="3270"/>
      <c r="AI44" s="3270"/>
      <c r="AJ44" s="3271"/>
      <c r="AK44" s="1175" t="s">
        <v>517</v>
      </c>
      <c r="AM44" s="434"/>
      <c r="AN44" s="434" t="str">
        <f t="shared" si="1"/>
        <v>Наименование признака дифференциации</v>
      </c>
      <c r="AO44" s="434"/>
      <c r="AP44" s="434"/>
      <c r="AQ44" s="1072">
        <v>23</v>
      </c>
    </row>
    <row r="45" spans="1:43" ht="24" customHeight="1">
      <c r="A45" s="1280" t="s">
        <v>261</v>
      </c>
      <c r="B45" s="1280" t="s">
        <v>262</v>
      </c>
      <c r="C45" s="1280" t="s">
        <v>263</v>
      </c>
      <c r="D45" s="1280" t="s">
        <v>528</v>
      </c>
      <c r="E45" s="3200"/>
      <c r="F45" s="3200"/>
      <c r="G45" s="3200"/>
      <c r="H45" s="3200"/>
      <c r="I45" s="3220"/>
      <c r="J45" s="3197" t="str">
        <f>I44&amp;".1"</f>
        <v>...1.1</v>
      </c>
      <c r="K45" s="1280"/>
      <c r="L45" s="1281" t="s">
        <v>441</v>
      </c>
      <c r="P45" s="3198"/>
      <c r="Q45" s="3198">
        <v>1</v>
      </c>
      <c r="R45" s="291"/>
      <c r="S45" s="1275" t="str">
        <f>$J45</f>
        <v>...1.1</v>
      </c>
      <c r="T45" s="221" t="s">
        <v>442</v>
      </c>
      <c r="U45" s="235"/>
      <c r="V45" s="3188"/>
      <c r="W45" s="3189"/>
      <c r="X45" s="3189"/>
      <c r="Y45" s="3189"/>
      <c r="Z45" s="3189"/>
      <c r="AA45" s="3189"/>
      <c r="AB45" s="3190"/>
      <c r="AC45" s="3188"/>
      <c r="AD45" s="3189"/>
      <c r="AE45" s="3189"/>
      <c r="AF45" s="3189"/>
      <c r="AG45" s="3189"/>
      <c r="AH45" s="3189"/>
      <c r="AI45" s="3189"/>
      <c r="AJ45" s="3190"/>
      <c r="AK45" s="1224" t="s">
        <v>518</v>
      </c>
      <c r="AM45" s="434"/>
      <c r="AN45" s="434" t="str">
        <f t="shared" si="1"/>
        <v>Группа потребителей</v>
      </c>
      <c r="AO45" s="434"/>
      <c r="AP45" s="434"/>
      <c r="AQ45" s="1072">
        <v>23</v>
      </c>
    </row>
    <row r="46" spans="1:43" ht="24" customHeight="1">
      <c r="A46" s="1280" t="s">
        <v>261</v>
      </c>
      <c r="B46" s="1280" t="s">
        <v>262</v>
      </c>
      <c r="C46" s="1280" t="s">
        <v>263</v>
      </c>
      <c r="D46" s="1280" t="s">
        <v>528</v>
      </c>
      <c r="E46" s="3200"/>
      <c r="F46" s="3200"/>
      <c r="G46" s="3200"/>
      <c r="H46" s="3200"/>
      <c r="I46" s="3220"/>
      <c r="J46" s="3220"/>
      <c r="K46" s="3197" t="str">
        <f>J45&amp;".1"</f>
        <v>...1.1.1</v>
      </c>
      <c r="L46" s="1281"/>
      <c r="P46" s="3198"/>
      <c r="Q46" s="3198"/>
      <c r="R46" s="291">
        <v>1</v>
      </c>
      <c r="S46" s="1275" t="str">
        <f>$K46</f>
        <v>...1.1.1</v>
      </c>
      <c r="T46" s="1354"/>
      <c r="U46" s="235"/>
      <c r="V46" s="1277"/>
      <c r="W46" s="1277"/>
      <c r="X46" s="1278"/>
      <c r="Y46" s="3204"/>
      <c r="Z46" s="3205" t="s">
        <v>67</v>
      </c>
      <c r="AA46" s="3204"/>
      <c r="AB46" s="3205" t="s">
        <v>67</v>
      </c>
      <c r="AC46" s="685"/>
      <c r="AD46" s="685"/>
      <c r="AE46" s="1174"/>
      <c r="AF46" s="3202"/>
      <c r="AG46" s="3048" t="s">
        <v>67</v>
      </c>
      <c r="AH46" s="3221"/>
      <c r="AI46" s="3048" t="s">
        <v>19</v>
      </c>
      <c r="AJ46" s="1355"/>
      <c r="AK46" s="3265"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5" t="e">
        <f ca="1">STRCHECKDATE(V47:AJ47)</f>
        <v>#NAME?</v>
      </c>
      <c r="AM46" s="434"/>
      <c r="AN46" s="434" t="str">
        <f t="shared" si="1"/>
        <v/>
      </c>
      <c r="AO46" s="434"/>
      <c r="AP46" s="434"/>
      <c r="AQ46" s="1072">
        <v>23</v>
      </c>
    </row>
    <row r="47" spans="1:43" ht="0" hidden="1" customHeight="1">
      <c r="A47" s="1280" t="s">
        <v>261</v>
      </c>
      <c r="B47" s="1280" t="s">
        <v>262</v>
      </c>
      <c r="C47" s="1280" t="s">
        <v>263</v>
      </c>
      <c r="D47" s="1280" t="s">
        <v>528</v>
      </c>
      <c r="E47" s="3200"/>
      <c r="F47" s="3200"/>
      <c r="G47" s="3200"/>
      <c r="H47" s="3200"/>
      <c r="I47" s="3220"/>
      <c r="J47" s="3220"/>
      <c r="K47" s="3197"/>
      <c r="L47" s="1281"/>
      <c r="P47" s="3198"/>
      <c r="Q47" s="3198"/>
      <c r="R47" s="291"/>
      <c r="S47" s="1276"/>
      <c r="T47" s="235"/>
      <c r="U47" s="235"/>
      <c r="V47" s="1277"/>
      <c r="W47" s="1277"/>
      <c r="X47" s="263" t="str">
        <f>Y46&amp;"-"&amp;AA46</f>
        <v>-</v>
      </c>
      <c r="Y47" s="3205"/>
      <c r="Z47" s="3205"/>
      <c r="AA47" s="3205"/>
      <c r="AB47" s="3205"/>
      <c r="AC47" s="260"/>
      <c r="AD47" s="260"/>
      <c r="AE47" s="263" t="str">
        <f>AF46&amp;"-"&amp;AH46</f>
        <v>-</v>
      </c>
      <c r="AF47" s="3203"/>
      <c r="AG47" s="3048"/>
      <c r="AH47" s="3222"/>
      <c r="AI47" s="3048"/>
      <c r="AJ47" s="1356"/>
      <c r="AK47" s="3265"/>
      <c r="AM47" s="434"/>
      <c r="AN47" s="434" t="str">
        <f t="shared" si="1"/>
        <v/>
      </c>
      <c r="AO47" s="434"/>
      <c r="AP47" s="434"/>
      <c r="AQ47" s="1072">
        <v>0</v>
      </c>
    </row>
    <row r="48" spans="1:43" ht="21" customHeight="1">
      <c r="A48" s="1280" t="s">
        <v>261</v>
      </c>
      <c r="B48" s="1280" t="s">
        <v>262</v>
      </c>
      <c r="C48" s="1280" t="s">
        <v>263</v>
      </c>
      <c r="D48" s="1280" t="s">
        <v>528</v>
      </c>
      <c r="E48" s="3200"/>
      <c r="F48" s="3200"/>
      <c r="G48" s="3200"/>
      <c r="H48" s="3200"/>
      <c r="I48" s="3220"/>
      <c r="J48" s="3197"/>
      <c r="K48" s="1280"/>
      <c r="L48" s="1281"/>
      <c r="P48" s="3198"/>
      <c r="Q48" s="3198"/>
      <c r="R48" s="290"/>
      <c r="S48" s="1195"/>
      <c r="T48" s="222" t="s">
        <v>519</v>
      </c>
      <c r="U48" s="301"/>
      <c r="V48" s="301"/>
      <c r="W48" s="301"/>
      <c r="X48" s="301"/>
      <c r="Y48" s="301"/>
      <c r="Z48" s="301"/>
      <c r="AA48" s="301"/>
      <c r="AB48" s="301"/>
      <c r="AC48" s="301"/>
      <c r="AD48" s="301"/>
      <c r="AE48" s="301"/>
      <c r="AF48" s="301"/>
      <c r="AG48" s="301"/>
      <c r="AH48" s="301"/>
      <c r="AI48" s="301"/>
      <c r="AJ48" s="301"/>
      <c r="AK48" s="1175" t="s">
        <v>520</v>
      </c>
      <c r="AM48" s="434"/>
      <c r="AN48" s="434" t="str">
        <f t="shared" si="1"/>
        <v>Добавить значение признака дифференциации</v>
      </c>
      <c r="AO48" s="434"/>
      <c r="AP48" s="434"/>
      <c r="AQ48" s="1072">
        <v>20</v>
      </c>
    </row>
    <row r="49" spans="1:43" ht="22" customHeight="1">
      <c r="A49" s="1280" t="s">
        <v>261</v>
      </c>
      <c r="B49" s="1280" t="s">
        <v>262</v>
      </c>
      <c r="C49" s="1280" t="s">
        <v>263</v>
      </c>
      <c r="D49" s="1280" t="s">
        <v>528</v>
      </c>
      <c r="E49" s="3200"/>
      <c r="F49" s="3200"/>
      <c r="G49" s="3200"/>
      <c r="H49" s="3200"/>
      <c r="I49" s="3197"/>
      <c r="J49" s="1280"/>
      <c r="K49" s="1280"/>
      <c r="L49" s="1281"/>
      <c r="P49" s="3198"/>
      <c r="Q49" s="1271"/>
      <c r="R49" s="290"/>
      <c r="S49" s="1195"/>
      <c r="T49" s="299" t="s">
        <v>447</v>
      </c>
      <c r="U49" s="301"/>
      <c r="V49" s="301"/>
      <c r="W49" s="301"/>
      <c r="X49" s="301"/>
      <c r="Y49" s="301"/>
      <c r="Z49" s="301"/>
      <c r="AA49" s="301"/>
      <c r="AB49" s="300"/>
      <c r="AC49" s="301"/>
      <c r="AD49" s="301"/>
      <c r="AE49" s="301"/>
      <c r="AF49" s="301"/>
      <c r="AG49" s="301"/>
      <c r="AH49" s="301"/>
      <c r="AI49" s="300"/>
      <c r="AJ49" s="301"/>
      <c r="AK49" s="1357"/>
      <c r="AM49" s="434"/>
      <c r="AN49" s="434" t="str">
        <f t="shared" si="1"/>
        <v>Добавить группу потребителей</v>
      </c>
      <c r="AO49" s="434"/>
      <c r="AP49" s="434"/>
      <c r="AQ49" s="1072">
        <v>21</v>
      </c>
    </row>
    <row r="50" spans="1:43" ht="22" customHeight="1">
      <c r="A50" s="1280" t="s">
        <v>261</v>
      </c>
      <c r="B50" s="1280" t="s">
        <v>262</v>
      </c>
      <c r="C50" s="1280" t="s">
        <v>263</v>
      </c>
      <c r="D50" s="1280" t="s">
        <v>528</v>
      </c>
      <c r="E50" s="3200"/>
      <c r="F50" s="3200"/>
      <c r="G50" s="3200"/>
      <c r="H50" s="3199"/>
      <c r="I50" s="1280"/>
      <c r="J50" s="1280"/>
      <c r="K50" s="1280"/>
      <c r="L50" s="1281"/>
      <c r="M50" s="1282"/>
      <c r="N50" s="1282"/>
      <c r="O50" s="471"/>
      <c r="P50" s="294"/>
      <c r="Q50" s="309"/>
      <c r="R50" s="289"/>
      <c r="S50" s="1195"/>
      <c r="T50" s="306" t="s">
        <v>521</v>
      </c>
      <c r="U50" s="301"/>
      <c r="V50" s="301"/>
      <c r="W50" s="301"/>
      <c r="X50" s="301"/>
      <c r="Y50" s="301"/>
      <c r="Z50" s="301"/>
      <c r="AA50" s="301"/>
      <c r="AB50" s="300"/>
      <c r="AC50" s="301"/>
      <c r="AD50" s="301"/>
      <c r="AE50" s="301"/>
      <c r="AF50" s="301"/>
      <c r="AG50" s="301"/>
      <c r="AH50" s="301"/>
      <c r="AI50" s="300"/>
      <c r="AJ50" s="301"/>
      <c r="AK50" s="238"/>
      <c r="AM50" s="434"/>
      <c r="AN50" s="434" t="str">
        <f t="shared" si="1"/>
        <v>Добавить наименование признака дифференциации</v>
      </c>
      <c r="AO50" s="434"/>
      <c r="AP50" s="434"/>
      <c r="AQ50" s="1072">
        <v>21</v>
      </c>
    </row>
    <row r="51" spans="1:43" s="2017" customFormat="1" ht="0" hidden="1" customHeight="1">
      <c r="A51" s="1260" t="s">
        <v>261</v>
      </c>
      <c r="B51" s="1260" t="s">
        <v>262</v>
      </c>
      <c r="C51" s="1231"/>
      <c r="D51" s="1231"/>
      <c r="E51" s="3200"/>
      <c r="F51" s="3199"/>
      <c r="G51" s="1231"/>
      <c r="H51" s="1231"/>
      <c r="I51" s="1231"/>
      <c r="J51" s="1231"/>
      <c r="K51" s="1231"/>
      <c r="L51" s="1343"/>
      <c r="M51" s="1238"/>
      <c r="N51" s="1238"/>
      <c r="P51" s="1233"/>
      <c r="Q51" s="1234"/>
      <c r="R51" s="1233"/>
      <c r="S51" s="1239"/>
      <c r="T51" s="1242" t="s">
        <v>181</v>
      </c>
      <c r="U51" s="1241"/>
      <c r="V51" s="1241"/>
      <c r="W51" s="1241"/>
      <c r="X51" s="1241"/>
      <c r="Y51" s="1241"/>
      <c r="Z51" s="1241"/>
      <c r="AA51" s="1241"/>
      <c r="AB51" s="1241"/>
      <c r="AC51" s="1241"/>
      <c r="AD51" s="1241"/>
      <c r="AE51" s="1241"/>
      <c r="AF51" s="1241"/>
      <c r="AG51" s="1241"/>
      <c r="AH51" s="1241"/>
      <c r="AI51" s="1241"/>
      <c r="AJ51" s="1241"/>
      <c r="AK51" s="1241"/>
      <c r="AM51" s="717"/>
      <c r="AN51" s="717" t="str">
        <f t="shared" si="1"/>
        <v>Добавить централизованную систему для дифференциации</v>
      </c>
      <c r="AO51" s="717"/>
      <c r="AP51" s="717"/>
      <c r="AQ51" s="452">
        <v>0</v>
      </c>
    </row>
    <row r="52" spans="1:43" s="2017" customFormat="1" ht="0" hidden="1" customHeight="1">
      <c r="A52" s="1260" t="s">
        <v>261</v>
      </c>
      <c r="B52" s="1260"/>
      <c r="C52" s="1260"/>
      <c r="D52" s="1260"/>
      <c r="E52" s="3199"/>
      <c r="F52" s="1260"/>
      <c r="G52" s="1260"/>
      <c r="H52" s="1260"/>
      <c r="I52" s="1260"/>
      <c r="J52" s="1260"/>
      <c r="K52" s="1260"/>
      <c r="L52" s="1263"/>
      <c r="M52" s="1238"/>
      <c r="N52" s="1238"/>
      <c r="O52" s="452"/>
      <c r="P52" s="314"/>
      <c r="Q52" s="1261"/>
      <c r="R52" s="314"/>
      <c r="S52" s="1239"/>
      <c r="T52" s="1242" t="s">
        <v>188</v>
      </c>
      <c r="U52" s="1241"/>
      <c r="V52" s="1241"/>
      <c r="W52" s="1241"/>
      <c r="X52" s="1241"/>
      <c r="Y52" s="1241"/>
      <c r="Z52" s="1241"/>
      <c r="AA52" s="1241"/>
      <c r="AB52" s="1241"/>
      <c r="AC52" s="1241"/>
      <c r="AD52" s="1241"/>
      <c r="AE52" s="1241"/>
      <c r="AF52" s="1241"/>
      <c r="AG52" s="1241"/>
      <c r="AH52" s="1241"/>
      <c r="AI52" s="1241"/>
      <c r="AJ52" s="1241"/>
      <c r="AK52" s="1241"/>
      <c r="AM52" s="434"/>
      <c r="AN52" s="434" t="str">
        <f t="shared" si="1"/>
        <v>Добавить территорию для дифференциации</v>
      </c>
      <c r="AO52" s="434"/>
      <c r="AP52" s="434"/>
      <c r="AQ52" s="445">
        <v>0</v>
      </c>
    </row>
    <row r="53" spans="1:43" s="2017" customFormat="1" ht="0" hidden="1" customHeight="1">
      <c r="A53" s="1231"/>
      <c r="B53" s="1231"/>
      <c r="C53" s="1231"/>
      <c r="D53" s="1231"/>
      <c r="E53" s="1260"/>
      <c r="F53" s="1231"/>
      <c r="G53" s="1231"/>
      <c r="H53" s="1231"/>
      <c r="I53" s="1231"/>
      <c r="J53" s="1231"/>
      <c r="K53" s="1231"/>
      <c r="L53" s="1343"/>
      <c r="M53" s="1238"/>
      <c r="N53" s="1238"/>
      <c r="P53" s="1233"/>
      <c r="Q53" s="1234"/>
      <c r="R53" s="1233"/>
      <c r="S53" s="1239"/>
      <c r="T53" s="1242" t="s">
        <v>189</v>
      </c>
      <c r="U53" s="1241"/>
      <c r="V53" s="1241"/>
      <c r="W53" s="1241"/>
      <c r="X53" s="1241"/>
      <c r="Y53" s="1241"/>
      <c r="Z53" s="1241"/>
      <c r="AA53" s="1241"/>
      <c r="AB53" s="1241"/>
      <c r="AC53" s="1241"/>
      <c r="AD53" s="1241"/>
      <c r="AE53" s="1241"/>
      <c r="AF53" s="1241"/>
      <c r="AG53" s="1241"/>
      <c r="AH53" s="1241"/>
      <c r="AI53" s="1241"/>
      <c r="AJ53" s="1241"/>
      <c r="AK53" s="1241"/>
      <c r="AM53" s="717"/>
      <c r="AN53" s="717" t="str">
        <f t="shared" si="1"/>
        <v>Добавить наименование тарифа</v>
      </c>
      <c r="AO53" s="717"/>
      <c r="AP53" s="717"/>
      <c r="AQ53" s="452">
        <v>0</v>
      </c>
    </row>
    <row r="54" spans="1:43" ht="11.5" customHeight="1">
      <c r="M54" s="1077"/>
      <c r="N54" s="1077"/>
      <c r="O54" s="471"/>
      <c r="P54" s="1072"/>
      <c r="Q54" s="1072"/>
      <c r="R54" s="1072"/>
      <c r="S54" s="1072"/>
      <c r="AL54" s="1072"/>
      <c r="AM54" s="1072"/>
      <c r="AN54" s="1072"/>
      <c r="AO54" s="1072"/>
      <c r="AP54" s="1072"/>
      <c r="AQ54" s="1072">
        <v>11</v>
      </c>
    </row>
    <row r="55" spans="1:43" ht="14.65" customHeight="1">
      <c r="O55" s="471"/>
      <c r="S55" s="1170"/>
      <c r="T55" s="3219"/>
      <c r="U55" s="3219"/>
      <c r="V55" s="3219"/>
      <c r="W55" s="3219"/>
      <c r="X55" s="3219"/>
      <c r="Y55" s="3219"/>
      <c r="Z55" s="3219"/>
      <c r="AA55" s="3219"/>
      <c r="AB55" s="3219"/>
      <c r="AC55" s="3219"/>
      <c r="AD55" s="3219"/>
      <c r="AE55" s="3219"/>
      <c r="AF55" s="3219"/>
      <c r="AG55" s="3219"/>
      <c r="AH55" s="3219"/>
      <c r="AI55" s="3219"/>
      <c r="AJ55" s="3219"/>
      <c r="AK55" s="3219"/>
      <c r="AQ55" s="1072">
        <v>14</v>
      </c>
    </row>
    <row r="56" spans="1:43" ht="14.65" customHeight="1">
      <c r="O56" s="471"/>
      <c r="AQ56" s="1072">
        <v>14</v>
      </c>
    </row>
    <row r="57" spans="1:43" ht="14.65" customHeight="1">
      <c r="O57" s="471"/>
      <c r="S57" s="1170"/>
      <c r="T57" s="3219"/>
      <c r="U57" s="3219"/>
      <c r="V57" s="3219"/>
      <c r="W57" s="3219"/>
      <c r="X57" s="3219"/>
      <c r="Y57" s="3219"/>
      <c r="Z57" s="3219"/>
      <c r="AA57" s="3219"/>
      <c r="AB57" s="3219"/>
      <c r="AC57" s="3219"/>
      <c r="AD57" s="3219"/>
      <c r="AE57" s="3219"/>
      <c r="AF57" s="3219"/>
      <c r="AG57" s="3219"/>
      <c r="AH57" s="3219"/>
      <c r="AI57" s="3219"/>
      <c r="AJ57" s="3219"/>
      <c r="AK57" s="3219"/>
      <c r="AQ57" s="1072">
        <v>14</v>
      </c>
    </row>
    <row r="58" spans="1:43" ht="22.5" hidden="1" customHeight="1">
      <c r="A58" s="1077" t="s">
        <v>83</v>
      </c>
      <c r="B58" s="1077">
        <v>0</v>
      </c>
      <c r="C58" s="1077">
        <v>0</v>
      </c>
      <c r="D58" s="1077">
        <v>0</v>
      </c>
      <c r="E58" s="1077">
        <v>0</v>
      </c>
      <c r="F58" s="1077">
        <v>0</v>
      </c>
      <c r="G58" s="1077">
        <v>0</v>
      </c>
      <c r="H58" s="1077">
        <v>0</v>
      </c>
      <c r="I58" s="1077">
        <v>0</v>
      </c>
      <c r="J58" s="1077">
        <v>0</v>
      </c>
      <c r="K58" s="1077">
        <v>0</v>
      </c>
      <c r="L58" s="1338">
        <v>0</v>
      </c>
      <c r="M58" s="1279">
        <v>0</v>
      </c>
      <c r="N58" s="1279">
        <v>0</v>
      </c>
      <c r="O58" s="1279">
        <v>0</v>
      </c>
      <c r="P58" s="1268">
        <v>3</v>
      </c>
      <c r="Q58" s="279">
        <v>3</v>
      </c>
      <c r="R58" s="279">
        <v>3</v>
      </c>
      <c r="S58" s="515">
        <v>12</v>
      </c>
      <c r="T58" s="1072">
        <v>35</v>
      </c>
      <c r="U58" s="1072">
        <v>0</v>
      </c>
      <c r="V58" s="1072">
        <v>0</v>
      </c>
      <c r="W58" s="1072">
        <v>0</v>
      </c>
      <c r="X58" s="1072">
        <v>0</v>
      </c>
      <c r="Y58" s="1072">
        <v>0</v>
      </c>
      <c r="Z58" s="1072">
        <v>0</v>
      </c>
      <c r="AA58" s="1072">
        <v>0</v>
      </c>
      <c r="AB58" s="1072">
        <v>0</v>
      </c>
      <c r="AC58" s="1072">
        <v>24</v>
      </c>
      <c r="AD58" s="1072">
        <v>24</v>
      </c>
      <c r="AE58" s="1072">
        <v>24</v>
      </c>
      <c r="AF58" s="1072">
        <v>11</v>
      </c>
      <c r="AG58" s="1072">
        <v>3</v>
      </c>
      <c r="AH58" s="1072">
        <v>11</v>
      </c>
      <c r="AI58" s="1072">
        <v>0</v>
      </c>
      <c r="AJ58" s="1072">
        <v>4</v>
      </c>
      <c r="AK58" s="1072">
        <v>115</v>
      </c>
      <c r="AL58" s="445">
        <v>10</v>
      </c>
      <c r="AM58" s="445">
        <v>10</v>
      </c>
      <c r="AN58" s="445">
        <v>10</v>
      </c>
      <c r="AO58" s="445">
        <v>10</v>
      </c>
      <c r="AP58" s="445">
        <v>10</v>
      </c>
      <c r="AQ58" s="107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xr:uid="{00000000-0002-0000-1400-000000000000}"/>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400-000001000000}">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xr:uid="{00000000-0002-0000-1400-000002000000}">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400-000003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xr:uid="{00000000-0002-0000-1400-000004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xr:uid="{00000000-0002-0000-1400-000005000000}"/>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400-000006000000}"/>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400-000007000000}">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4E6CDC-8E35-5E96-F765-E843A654A953}">
  <sheetPr>
    <tabColor theme="6" tint="0.39997558519241921"/>
  </sheetPr>
  <dimension ref="A1:AQ58"/>
  <sheetViews>
    <sheetView showGridLines="0" topLeftCell="P23" zoomScale="90" workbookViewId="0"/>
  </sheetViews>
  <sheetFormatPr defaultColWidth="10.59765625" defaultRowHeight="14.25" customHeight="1"/>
  <cols>
    <col min="1" max="1" width="10.59765625" style="2016" hidden="1"/>
    <col min="2" max="2" width="11" style="2016" hidden="1" customWidth="1"/>
    <col min="3" max="3" width="10.59765625" style="2016" hidden="1"/>
    <col min="4" max="4" width="11.796875" style="2016" hidden="1" customWidth="1"/>
    <col min="5" max="5" width="10" style="2016" hidden="1" customWidth="1"/>
    <col min="6" max="6" width="8.69921875" style="2016" hidden="1" customWidth="1"/>
    <col min="7" max="7" width="7.59765625" style="2016" hidden="1" customWidth="1"/>
    <col min="8" max="8" width="11.3984375" style="2016" hidden="1" customWidth="1"/>
    <col min="9" max="9" width="14.09765625" style="2016" hidden="1" customWidth="1"/>
    <col min="10" max="10" width="9.796875" style="2016" hidden="1" customWidth="1"/>
    <col min="11" max="11" width="14.69921875" style="2016" hidden="1" customWidth="1"/>
    <col min="12" max="12" width="19.09765625" style="2216" hidden="1" customWidth="1"/>
    <col min="13" max="14" width="12.296875" style="2006" hidden="1" customWidth="1"/>
    <col min="15" max="15" width="23.3984375" style="2006" hidden="1" customWidth="1"/>
    <col min="16" max="16" width="3" style="2217" customWidth="1"/>
    <col min="17" max="18" width="3" style="2215" customWidth="1"/>
    <col min="19" max="19" width="12" style="2218" customWidth="1"/>
    <col min="20" max="20" width="35" style="2004" customWidth="1"/>
    <col min="21" max="21" width="9.765625E-2" style="2004" customWidth="1"/>
    <col min="22" max="24" width="24.69921875" style="2004" hidden="1" customWidth="1"/>
    <col min="25" max="25" width="11.69921875" style="2004" hidden="1" customWidth="1"/>
    <col min="26" max="26" width="3.69921875" style="2004" hidden="1" customWidth="1"/>
    <col min="27" max="27" width="11.69921875" style="2004" hidden="1" customWidth="1"/>
    <col min="28" max="28" width="8.59765625" style="2004" hidden="1" customWidth="1"/>
    <col min="29" max="29" width="24.69921875" style="2004" customWidth="1"/>
    <col min="30" max="31" width="24" style="2004" customWidth="1"/>
    <col min="32" max="32" width="11" style="2004" customWidth="1"/>
    <col min="33" max="33" width="3.69921875" style="2004" customWidth="1"/>
    <col min="34" max="34" width="11" style="2004" customWidth="1"/>
    <col min="35" max="35" width="8.59765625" style="2004" hidden="1" customWidth="1"/>
    <col min="36" max="36" width="4" style="2004" customWidth="1"/>
    <col min="37" max="37" width="115" style="2004" customWidth="1"/>
    <col min="38" max="42" width="10" style="2017" customWidth="1"/>
    <col min="43" max="43" width="10.59765625" style="2004" hidden="1"/>
  </cols>
  <sheetData>
    <row r="1" spans="1:43" ht="22.5" hidden="1" customHeight="1">
      <c r="X1" s="262"/>
      <c r="Y1" s="262"/>
      <c r="AE1" s="262"/>
      <c r="AF1" s="262"/>
      <c r="AQ1" s="1072" t="s">
        <v>14</v>
      </c>
    </row>
    <row r="2" spans="1:43" ht="23.25" hidden="1" customHeight="1">
      <c r="A2" s="1280"/>
      <c r="B2" s="1280"/>
      <c r="C2" s="1280"/>
      <c r="D2" s="1280"/>
      <c r="E2" s="3199">
        <v>1</v>
      </c>
      <c r="F2" s="1280"/>
      <c r="G2" s="1280"/>
      <c r="H2" s="1280"/>
      <c r="I2" s="1280"/>
      <c r="J2" s="1280"/>
      <c r="K2" s="1280"/>
      <c r="L2" s="1281"/>
      <c r="M2" s="1282"/>
      <c r="N2" s="1282"/>
      <c r="O2" s="1282"/>
      <c r="P2" s="295"/>
      <c r="Q2" s="294"/>
      <c r="R2" s="289"/>
      <c r="S2" s="1374" t="e">
        <f>INDEX(PT_DIFFERENTIATION_NUM_NTAR,MATCH(A2,PT_DIFFERENTIATION_NTAR_ID,0))</f>
        <v>#N/A</v>
      </c>
      <c r="T2" s="233" t="s">
        <v>137</v>
      </c>
      <c r="U2" s="235"/>
      <c r="V2" s="3185"/>
      <c r="W2" s="3186"/>
      <c r="X2" s="3186"/>
      <c r="Y2" s="3186"/>
      <c r="Z2" s="3186"/>
      <c r="AA2" s="3186"/>
      <c r="AB2" s="3187"/>
      <c r="AC2" s="3185" t="e">
        <f>INDEX(PT_DIFFERENTIATION_NTAR,MATCH(A2,PT_DIFFERENTIATION_NTAR_ID,0))</f>
        <v>#N/A</v>
      </c>
      <c r="AD2" s="3186"/>
      <c r="AE2" s="3186"/>
      <c r="AF2" s="3186"/>
      <c r="AG2" s="3186"/>
      <c r="AH2" s="3186"/>
      <c r="AI2" s="3186"/>
      <c r="AJ2" s="3187"/>
      <c r="AK2"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4"/>
      <c r="AN2" s="434" t="str">
        <f t="shared" ref="AN2:AN13" si="0">IF(T2="","",T2)</f>
        <v>Наименование тарифа</v>
      </c>
      <c r="AO2" s="434"/>
      <c r="AP2" s="434"/>
      <c r="AQ2" s="1072">
        <v>0</v>
      </c>
    </row>
    <row r="3" spans="1:43" ht="23.25" hidden="1" customHeight="1">
      <c r="A3" s="1280"/>
      <c r="B3" s="1280"/>
      <c r="C3" s="1280"/>
      <c r="D3" s="1280"/>
      <c r="E3" s="3200"/>
      <c r="F3" s="3199">
        <v>1</v>
      </c>
      <c r="G3" s="1280"/>
      <c r="H3" s="1280"/>
      <c r="I3" s="1280"/>
      <c r="J3" s="1280"/>
      <c r="K3" s="1280"/>
      <c r="L3" s="1281"/>
      <c r="M3" s="1282"/>
      <c r="N3" s="1282"/>
      <c r="O3" s="1282"/>
      <c r="P3" s="1370"/>
      <c r="Q3" s="286"/>
      <c r="R3" s="287"/>
      <c r="S3" s="1374" t="e">
        <f>INDEX(PT_DIFFERENTIATION_NUM_TER,MATCH(B3,PT_DIFFERENTIATION_TER_ID,0))</f>
        <v>#N/A</v>
      </c>
      <c r="T3" s="243" t="s">
        <v>432</v>
      </c>
      <c r="U3" s="235"/>
      <c r="V3" s="3185"/>
      <c r="W3" s="3186"/>
      <c r="X3" s="3186"/>
      <c r="Y3" s="3186"/>
      <c r="Z3" s="3186"/>
      <c r="AA3" s="3186"/>
      <c r="AB3" s="3187"/>
      <c r="AC3" s="3185" t="e">
        <f>INDEX(PT_DIFFERENTIATION_TER,MATCH(B3,PT_DIFFERENTIATION_TER_ID,0))</f>
        <v>#N/A</v>
      </c>
      <c r="AD3" s="3186"/>
      <c r="AE3" s="3186"/>
      <c r="AF3" s="3186"/>
      <c r="AG3" s="3186"/>
      <c r="AH3" s="3186"/>
      <c r="AI3" s="3186"/>
      <c r="AJ3" s="3187"/>
      <c r="AK3" s="1175" t="s">
        <v>433</v>
      </c>
      <c r="AM3" s="434"/>
      <c r="AN3" s="434" t="str">
        <f t="shared" si="0"/>
        <v>Территория действия тарифа</v>
      </c>
      <c r="AO3" s="434"/>
      <c r="AP3" s="434"/>
      <c r="AQ3" s="1072">
        <v>0</v>
      </c>
    </row>
    <row r="4" spans="1:43" ht="23.25" hidden="1" customHeight="1">
      <c r="A4" s="1280"/>
      <c r="B4" s="1280"/>
      <c r="C4" s="1280"/>
      <c r="D4" s="1280"/>
      <c r="E4" s="3200"/>
      <c r="F4" s="3200"/>
      <c r="G4" s="3199">
        <v>1</v>
      </c>
      <c r="H4" s="1280"/>
      <c r="I4" s="1280"/>
      <c r="J4" s="1280"/>
      <c r="K4" s="1280"/>
      <c r="L4" s="1281"/>
      <c r="M4" s="1282"/>
      <c r="N4" s="1282"/>
      <c r="O4" s="1282"/>
      <c r="P4" s="288"/>
      <c r="Q4" s="286"/>
      <c r="R4" s="287"/>
      <c r="S4" s="1374" t="e">
        <f>INDEX(PT_DIFFERENTIATION_NUM_CS,MATCH(C4,PT_DIFFERENTIATION_CS_ID,0))</f>
        <v>#N/A</v>
      </c>
      <c r="T4" s="244" t="s">
        <v>514</v>
      </c>
      <c r="U4" s="235"/>
      <c r="V4" s="3185"/>
      <c r="W4" s="3186"/>
      <c r="X4" s="3186"/>
      <c r="Y4" s="3186"/>
      <c r="Z4" s="3186"/>
      <c r="AA4" s="3186"/>
      <c r="AB4" s="3187"/>
      <c r="AC4" s="3185" t="e">
        <f>INDEX(PT_DIFFERENTIATION_CS,MATCH(C4,PT_DIFFERENTIATION_CS_ID,0))</f>
        <v>#N/A</v>
      </c>
      <c r="AD4" s="3186"/>
      <c r="AE4" s="3186"/>
      <c r="AF4" s="3186"/>
      <c r="AG4" s="3186"/>
      <c r="AH4" s="3186"/>
      <c r="AI4" s="3186"/>
      <c r="AJ4" s="3187"/>
      <c r="AK4" s="1175" t="s">
        <v>515</v>
      </c>
      <c r="AM4" s="434"/>
      <c r="AN4" s="434" t="str">
        <f t="shared" si="0"/>
        <v>Наименование централизованной системы холодного водоснабжения</v>
      </c>
      <c r="AO4" s="434"/>
      <c r="AP4" s="434"/>
      <c r="AQ4" s="1072">
        <v>0</v>
      </c>
    </row>
    <row r="5" spans="1:43" ht="23.25" hidden="1" customHeight="1">
      <c r="A5" s="1280"/>
      <c r="B5" s="1280"/>
      <c r="C5" s="1280"/>
      <c r="D5" s="1280"/>
      <c r="E5" s="3200"/>
      <c r="F5" s="3200"/>
      <c r="G5" s="3200"/>
      <c r="H5" s="3200"/>
      <c r="I5" s="3197" t="e">
        <f>S4&amp;".1"</f>
        <v>#N/A</v>
      </c>
      <c r="J5" s="1280"/>
      <c r="K5" s="1280"/>
      <c r="L5" s="1281"/>
      <c r="P5" s="3198">
        <v>1</v>
      </c>
      <c r="Q5" s="1367"/>
      <c r="R5" s="290"/>
      <c r="S5" s="1374" t="e">
        <f>$I5</f>
        <v>#N/A</v>
      </c>
      <c r="T5" s="220" t="s">
        <v>516</v>
      </c>
      <c r="U5" s="235"/>
      <c r="V5" s="3266"/>
      <c r="W5" s="3267"/>
      <c r="X5" s="3267"/>
      <c r="Y5" s="3267"/>
      <c r="Z5" s="3267"/>
      <c r="AA5" s="3267"/>
      <c r="AB5" s="3268"/>
      <c r="AC5" s="3269"/>
      <c r="AD5" s="3270"/>
      <c r="AE5" s="3270"/>
      <c r="AF5" s="3270"/>
      <c r="AG5" s="3270"/>
      <c r="AH5" s="3270"/>
      <c r="AI5" s="3270"/>
      <c r="AJ5" s="3271"/>
      <c r="AK5" s="1175" t="s">
        <v>517</v>
      </c>
      <c r="AM5" s="434"/>
      <c r="AN5" s="434" t="str">
        <f t="shared" si="0"/>
        <v>Наименование признака дифференциации</v>
      </c>
      <c r="AO5" s="434"/>
      <c r="AP5" s="434"/>
      <c r="AQ5" s="1072">
        <v>0</v>
      </c>
    </row>
    <row r="6" spans="1:43" ht="23.25" hidden="1" customHeight="1">
      <c r="A6" s="1280"/>
      <c r="B6" s="1280"/>
      <c r="C6" s="1280"/>
      <c r="D6" s="1280"/>
      <c r="E6" s="3200"/>
      <c r="F6" s="3200"/>
      <c r="G6" s="3200"/>
      <c r="H6" s="3200"/>
      <c r="I6" s="3220"/>
      <c r="J6" s="3197" t="e">
        <f>I5&amp;".1"</f>
        <v>#N/A</v>
      </c>
      <c r="K6" s="1280"/>
      <c r="L6" s="1281" t="s">
        <v>441</v>
      </c>
      <c r="P6" s="3198"/>
      <c r="Q6" s="3198">
        <v>1</v>
      </c>
      <c r="R6" s="291"/>
      <c r="S6" s="1374" t="e">
        <f>$J6</f>
        <v>#N/A</v>
      </c>
      <c r="T6" s="221" t="s">
        <v>442</v>
      </c>
      <c r="U6" s="235"/>
      <c r="V6" s="3188"/>
      <c r="W6" s="3189"/>
      <c r="X6" s="3189"/>
      <c r="Y6" s="3189"/>
      <c r="Z6" s="3189"/>
      <c r="AA6" s="3189"/>
      <c r="AB6" s="3190"/>
      <c r="AC6" s="3188"/>
      <c r="AD6" s="3189"/>
      <c r="AE6" s="3189"/>
      <c r="AF6" s="3189"/>
      <c r="AG6" s="3189"/>
      <c r="AH6" s="3189"/>
      <c r="AI6" s="3189"/>
      <c r="AJ6" s="3190"/>
      <c r="AK6" s="1224" t="s">
        <v>518</v>
      </c>
      <c r="AM6" s="434"/>
      <c r="AN6" s="434" t="str">
        <f t="shared" si="0"/>
        <v>Группа потребителей</v>
      </c>
      <c r="AO6" s="434"/>
      <c r="AP6" s="434"/>
      <c r="AQ6" s="1072">
        <v>0</v>
      </c>
    </row>
    <row r="7" spans="1:43" ht="23.25" hidden="1" customHeight="1">
      <c r="A7" s="1280"/>
      <c r="B7" s="1280"/>
      <c r="C7" s="1280"/>
      <c r="D7" s="1280"/>
      <c r="E7" s="3200"/>
      <c r="F7" s="3200"/>
      <c r="G7" s="3200"/>
      <c r="H7" s="3200"/>
      <c r="I7" s="3220"/>
      <c r="J7" s="3220"/>
      <c r="K7" s="3197" t="e">
        <f>J6&amp;".1"</f>
        <v>#N/A</v>
      </c>
      <c r="L7" s="1281"/>
      <c r="P7" s="3198"/>
      <c r="Q7" s="3198"/>
      <c r="R7" s="291">
        <v>1</v>
      </c>
      <c r="S7" s="1374" t="e">
        <f>$K7</f>
        <v>#N/A</v>
      </c>
      <c r="T7" s="1354"/>
      <c r="U7" s="235"/>
      <c r="V7" s="685"/>
      <c r="W7" s="685"/>
      <c r="X7" s="1174"/>
      <c r="Y7" s="3202"/>
      <c r="Z7" s="3048" t="s">
        <v>67</v>
      </c>
      <c r="AA7" s="3202"/>
      <c r="AB7" s="3048" t="s">
        <v>67</v>
      </c>
      <c r="AC7" s="685"/>
      <c r="AD7" s="685"/>
      <c r="AE7" s="1174"/>
      <c r="AF7" s="3202"/>
      <c r="AG7" s="3048" t="s">
        <v>67</v>
      </c>
      <c r="AH7" s="3221"/>
      <c r="AI7" s="3048" t="s">
        <v>67</v>
      </c>
      <c r="AJ7" s="1355"/>
      <c r="AK7" s="3265"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5" t="e">
        <f ca="1">STRCHECKDATE(V8:AJ8)</f>
        <v>#NAME?</v>
      </c>
      <c r="AM7" s="434"/>
      <c r="AN7" s="434" t="str">
        <f t="shared" si="0"/>
        <v/>
      </c>
      <c r="AO7" s="434"/>
      <c r="AP7" s="434"/>
      <c r="AQ7" s="1072">
        <v>0</v>
      </c>
    </row>
    <row r="8" spans="1:43" ht="14.25" hidden="1" customHeight="1">
      <c r="A8" s="1280"/>
      <c r="B8" s="1280"/>
      <c r="C8" s="1280"/>
      <c r="D8" s="1280"/>
      <c r="E8" s="3200"/>
      <c r="F8" s="3200"/>
      <c r="G8" s="3200"/>
      <c r="H8" s="3200"/>
      <c r="I8" s="3220"/>
      <c r="J8" s="3220"/>
      <c r="K8" s="3197"/>
      <c r="L8" s="1281"/>
      <c r="P8" s="3198"/>
      <c r="Q8" s="3198"/>
      <c r="R8" s="291"/>
      <c r="S8" s="1373"/>
      <c r="T8" s="235"/>
      <c r="U8" s="235"/>
      <c r="V8" s="260"/>
      <c r="W8" s="260"/>
      <c r="X8" s="263" t="str">
        <f>Y7&amp;"-"&amp;AA7</f>
        <v>-</v>
      </c>
      <c r="Y8" s="3203"/>
      <c r="Z8" s="3048"/>
      <c r="AA8" s="3203"/>
      <c r="AB8" s="3048"/>
      <c r="AC8" s="260"/>
      <c r="AD8" s="260"/>
      <c r="AE8" s="263" t="str">
        <f>AF7&amp;"-"&amp;AH7</f>
        <v>-</v>
      </c>
      <c r="AF8" s="3203"/>
      <c r="AG8" s="3048"/>
      <c r="AH8" s="3222"/>
      <c r="AI8" s="3048"/>
      <c r="AJ8" s="1356"/>
      <c r="AK8" s="3265"/>
      <c r="AM8" s="434"/>
      <c r="AN8" s="434" t="str">
        <f t="shared" si="0"/>
        <v/>
      </c>
      <c r="AO8" s="434"/>
      <c r="AP8" s="434"/>
      <c r="AQ8" s="1072">
        <v>0</v>
      </c>
    </row>
    <row r="9" spans="1:43" ht="21" hidden="1" customHeight="1">
      <c r="A9" s="1280"/>
      <c r="B9" s="1280"/>
      <c r="C9" s="1280"/>
      <c r="D9" s="1280"/>
      <c r="E9" s="3200"/>
      <c r="F9" s="3200"/>
      <c r="G9" s="3200"/>
      <c r="H9" s="3200"/>
      <c r="I9" s="3220"/>
      <c r="J9" s="3197"/>
      <c r="K9" s="1280"/>
      <c r="L9" s="1281"/>
      <c r="P9" s="3198"/>
      <c r="Q9" s="3198"/>
      <c r="R9" s="290"/>
      <c r="S9" s="1195"/>
      <c r="T9" s="222" t="s">
        <v>519</v>
      </c>
      <c r="U9" s="301"/>
      <c r="V9" s="301"/>
      <c r="W9" s="301"/>
      <c r="X9" s="301"/>
      <c r="Y9" s="301"/>
      <c r="Z9" s="301"/>
      <c r="AA9" s="301"/>
      <c r="AB9" s="301"/>
      <c r="AC9" s="301"/>
      <c r="AD9" s="301"/>
      <c r="AE9" s="301"/>
      <c r="AF9" s="301"/>
      <c r="AG9" s="301"/>
      <c r="AH9" s="301"/>
      <c r="AI9" s="301"/>
      <c r="AJ9" s="301"/>
      <c r="AK9" s="1175" t="s">
        <v>520</v>
      </c>
      <c r="AM9" s="434"/>
      <c r="AN9" s="434" t="str">
        <f t="shared" si="0"/>
        <v>Добавить значение признака дифференциации</v>
      </c>
      <c r="AO9" s="434"/>
      <c r="AP9" s="434"/>
      <c r="AQ9" s="1072">
        <v>0</v>
      </c>
    </row>
    <row r="10" spans="1:43" ht="21" hidden="1" customHeight="1">
      <c r="A10" s="1280"/>
      <c r="B10" s="1280"/>
      <c r="C10" s="1280"/>
      <c r="D10" s="1280"/>
      <c r="E10" s="3200"/>
      <c r="F10" s="3200"/>
      <c r="G10" s="3200"/>
      <c r="H10" s="3200"/>
      <c r="I10" s="3197"/>
      <c r="J10" s="1280"/>
      <c r="K10" s="1280"/>
      <c r="L10" s="1281"/>
      <c r="P10" s="3198"/>
      <c r="Q10" s="1367"/>
      <c r="R10" s="290"/>
      <c r="S10" s="1195"/>
      <c r="T10" s="299" t="s">
        <v>447</v>
      </c>
      <c r="U10" s="301"/>
      <c r="V10" s="301"/>
      <c r="W10" s="301"/>
      <c r="X10" s="301"/>
      <c r="Y10" s="301"/>
      <c r="Z10" s="301"/>
      <c r="AA10" s="301"/>
      <c r="AB10" s="300"/>
      <c r="AC10" s="301"/>
      <c r="AD10" s="301"/>
      <c r="AE10" s="301"/>
      <c r="AF10" s="301"/>
      <c r="AG10" s="301"/>
      <c r="AH10" s="301"/>
      <c r="AI10" s="300"/>
      <c r="AJ10" s="301"/>
      <c r="AK10" s="1357"/>
      <c r="AM10" s="434"/>
      <c r="AN10" s="434" t="str">
        <f t="shared" si="0"/>
        <v>Добавить группу потребителей</v>
      </c>
      <c r="AO10" s="434"/>
      <c r="AP10" s="434"/>
      <c r="AQ10" s="1072">
        <v>0</v>
      </c>
    </row>
    <row r="11" spans="1:43" ht="21" hidden="1" customHeight="1">
      <c r="A11" s="1280"/>
      <c r="B11" s="1280"/>
      <c r="C11" s="1280"/>
      <c r="D11" s="1280"/>
      <c r="E11" s="3200"/>
      <c r="F11" s="3200"/>
      <c r="G11" s="3200"/>
      <c r="H11" s="3199"/>
      <c r="I11" s="1280"/>
      <c r="J11" s="1280"/>
      <c r="K11" s="1280"/>
      <c r="L11" s="1281"/>
      <c r="M11" s="1282"/>
      <c r="N11" s="1282"/>
      <c r="O11" s="471"/>
      <c r="P11" s="294"/>
      <c r="Q11" s="309"/>
      <c r="R11" s="289"/>
      <c r="S11" s="1195"/>
      <c r="T11" s="306" t="s">
        <v>521</v>
      </c>
      <c r="U11" s="301"/>
      <c r="V11" s="301"/>
      <c r="W11" s="301"/>
      <c r="X11" s="301"/>
      <c r="Y11" s="301"/>
      <c r="Z11" s="301"/>
      <c r="AA11" s="301"/>
      <c r="AB11" s="300"/>
      <c r="AC11" s="301"/>
      <c r="AD11" s="301"/>
      <c r="AE11" s="301"/>
      <c r="AF11" s="301"/>
      <c r="AG11" s="301"/>
      <c r="AH11" s="301"/>
      <c r="AI11" s="300"/>
      <c r="AJ11" s="301"/>
      <c r="AK11" s="238"/>
      <c r="AM11" s="434"/>
      <c r="AN11" s="434" t="str">
        <f t="shared" si="0"/>
        <v>Добавить наименование признака дифференциации</v>
      </c>
      <c r="AO11" s="434"/>
      <c r="AP11" s="434"/>
      <c r="AQ11" s="1072">
        <v>0</v>
      </c>
    </row>
    <row r="12" spans="1:43" s="2017" customFormat="1" ht="14.25" hidden="1" customHeight="1">
      <c r="A12" s="1260"/>
      <c r="B12" s="1260"/>
      <c r="C12" s="1231"/>
      <c r="D12" s="1231"/>
      <c r="E12" s="3200"/>
      <c r="F12" s="3199"/>
      <c r="G12" s="1231"/>
      <c r="H12" s="1231"/>
      <c r="I12" s="1231"/>
      <c r="J12" s="1231"/>
      <c r="K12" s="1231"/>
      <c r="L12" s="1375"/>
      <c r="M12" s="1238"/>
      <c r="N12" s="1238"/>
      <c r="P12" s="1233"/>
      <c r="Q12" s="1234"/>
      <c r="R12" s="1233"/>
      <c r="S12" s="1239"/>
      <c r="T12" s="1242" t="s">
        <v>181</v>
      </c>
      <c r="U12" s="1241"/>
      <c r="V12" s="1241"/>
      <c r="W12" s="1241"/>
      <c r="X12" s="1241"/>
      <c r="Y12" s="1241"/>
      <c r="Z12" s="1241"/>
      <c r="AA12" s="1241"/>
      <c r="AB12" s="1241"/>
      <c r="AC12" s="1241"/>
      <c r="AD12" s="1241"/>
      <c r="AE12" s="1241"/>
      <c r="AF12" s="1241"/>
      <c r="AG12" s="1241"/>
      <c r="AH12" s="1241"/>
      <c r="AI12" s="1241"/>
      <c r="AJ12" s="1241"/>
      <c r="AK12" s="1241"/>
      <c r="AM12" s="717"/>
      <c r="AN12" s="717" t="str">
        <f t="shared" si="0"/>
        <v>Добавить централизованную систему для дифференциации</v>
      </c>
      <c r="AO12" s="717"/>
      <c r="AP12" s="717"/>
      <c r="AQ12" s="452">
        <v>0</v>
      </c>
    </row>
    <row r="13" spans="1:43" s="2017" customFormat="1" ht="14.25" hidden="1" customHeight="1">
      <c r="A13" s="1260"/>
      <c r="B13" s="1260"/>
      <c r="C13" s="1260"/>
      <c r="D13" s="1260"/>
      <c r="E13" s="3199"/>
      <c r="F13" s="1260"/>
      <c r="G13" s="1260"/>
      <c r="H13" s="1260"/>
      <c r="I13" s="1260"/>
      <c r="J13" s="1260"/>
      <c r="K13" s="1260"/>
      <c r="L13" s="1263"/>
      <c r="M13" s="1238"/>
      <c r="N13" s="1238"/>
      <c r="O13" s="452"/>
      <c r="P13" s="314"/>
      <c r="Q13" s="1261"/>
      <c r="R13" s="314"/>
      <c r="S13" s="1239"/>
      <c r="T13" s="1242" t="s">
        <v>188</v>
      </c>
      <c r="U13" s="1241"/>
      <c r="V13" s="1241"/>
      <c r="W13" s="1241"/>
      <c r="X13" s="1241"/>
      <c r="Y13" s="1241"/>
      <c r="Z13" s="1241"/>
      <c r="AA13" s="1241"/>
      <c r="AB13" s="1241"/>
      <c r="AC13" s="1241"/>
      <c r="AD13" s="1241"/>
      <c r="AE13" s="1241"/>
      <c r="AF13" s="1241"/>
      <c r="AG13" s="1241"/>
      <c r="AH13" s="1241"/>
      <c r="AI13" s="1241"/>
      <c r="AJ13" s="1241"/>
      <c r="AK13" s="1241"/>
      <c r="AM13" s="434"/>
      <c r="AN13" s="434" t="str">
        <f t="shared" si="0"/>
        <v>Добавить территорию для дифференциации</v>
      </c>
      <c r="AO13" s="434"/>
      <c r="AP13" s="434"/>
      <c r="AQ13" s="445">
        <v>0</v>
      </c>
    </row>
    <row r="14" spans="1:43" ht="14.25" hidden="1" customHeight="1">
      <c r="AB14" s="262"/>
      <c r="AI14" s="262"/>
      <c r="AQ14" s="1072">
        <v>0</v>
      </c>
    </row>
    <row r="15" spans="1:43" ht="14.25" hidden="1" customHeight="1">
      <c r="AC15" s="1277"/>
      <c r="AD15" s="1277"/>
      <c r="AE15" s="1278"/>
      <c r="AF15" s="3204"/>
      <c r="AG15" s="3205" t="s">
        <v>67</v>
      </c>
      <c r="AH15" s="3204"/>
      <c r="AI15" s="3205" t="s">
        <v>67</v>
      </c>
      <c r="AQ15" s="1072">
        <v>0</v>
      </c>
    </row>
    <row r="16" spans="1:43" ht="14.25" hidden="1" customHeight="1">
      <c r="AC16" s="1277"/>
      <c r="AD16" s="1277"/>
      <c r="AE16" s="263" t="str">
        <f>AF15&amp;"-"&amp;AH15</f>
        <v>-</v>
      </c>
      <c r="AF16" s="3205"/>
      <c r="AG16" s="3205"/>
      <c r="AH16" s="3205"/>
      <c r="AI16" s="3205"/>
      <c r="AQ16" s="1072">
        <v>0</v>
      </c>
    </row>
    <row r="17" spans="1:43" ht="14.25" hidden="1" customHeight="1">
      <c r="AI17" s="262"/>
      <c r="AQ17" s="1072">
        <v>0</v>
      </c>
    </row>
    <row r="18" spans="1:43" s="2016" customFormat="1" ht="22.5" hidden="1" customHeight="1">
      <c r="L18" s="1364"/>
      <c r="M18" s="1279"/>
      <c r="N18" s="1279"/>
      <c r="O18" s="1284" t="s">
        <v>449</v>
      </c>
      <c r="P18" s="1279"/>
      <c r="Q18" s="1288"/>
      <c r="R18" s="1288"/>
      <c r="S18" s="663"/>
      <c r="Y18" s="1284"/>
      <c r="AA18" s="1284"/>
      <c r="AB18" s="1283"/>
      <c r="AF18" s="1284"/>
      <c r="AH18" s="1284"/>
      <c r="AI18" s="1283"/>
      <c r="AL18" s="445"/>
      <c r="AM18" s="445"/>
      <c r="AN18" s="445"/>
      <c r="AO18" s="445"/>
      <c r="AP18" s="445"/>
      <c r="AQ18" s="1077">
        <v>0</v>
      </c>
    </row>
    <row r="19" spans="1:43" s="2016" customFormat="1" ht="14.25" hidden="1" customHeight="1">
      <c r="L19" s="1364"/>
      <c r="M19" s="1279"/>
      <c r="N19" s="1279"/>
      <c r="O19" s="1279"/>
      <c r="P19" s="1279"/>
      <c r="Q19" s="1288"/>
      <c r="R19" s="1288"/>
      <c r="S19" s="663"/>
      <c r="AB19" s="1283"/>
      <c r="AI19" s="1283"/>
      <c r="AL19" s="445"/>
      <c r="AM19" s="445"/>
      <c r="AN19" s="445"/>
      <c r="AO19" s="445"/>
      <c r="AP19" s="445"/>
      <c r="AQ19" s="1077">
        <v>0</v>
      </c>
    </row>
    <row r="20" spans="1:43" s="2016" customFormat="1" ht="12" hidden="1" customHeight="1">
      <c r="L20" s="1364"/>
      <c r="M20" s="1279"/>
      <c r="N20" s="1279"/>
      <c r="O20" s="1281" t="s">
        <v>450</v>
      </c>
      <c r="P20" s="1279"/>
      <c r="Q20" s="1359"/>
      <c r="R20" s="1359"/>
      <c r="S20" s="663"/>
      <c r="T20" s="1077" t="s">
        <v>451</v>
      </c>
      <c r="Z20" s="121" t="s">
        <v>452</v>
      </c>
      <c r="AB20" s="121" t="s">
        <v>453</v>
      </c>
      <c r="AC20" s="1077" t="s">
        <v>451</v>
      </c>
      <c r="AG20" s="121" t="s">
        <v>454</v>
      </c>
      <c r="AI20" s="121" t="s">
        <v>453</v>
      </c>
      <c r="AQ20" s="1077">
        <v>0</v>
      </c>
    </row>
    <row r="21" spans="1:43" ht="14.25" hidden="1" customHeight="1">
      <c r="O21" s="1281"/>
      <c r="AQ21" s="1072">
        <v>0</v>
      </c>
    </row>
    <row r="22" spans="1:43" ht="14.25" hidden="1" customHeight="1">
      <c r="O22" s="1281"/>
      <c r="AQ22" s="1072">
        <v>0</v>
      </c>
    </row>
    <row r="23" spans="1:43" ht="14.65" customHeight="1">
      <c r="Q23" s="310"/>
      <c r="R23" s="310"/>
      <c r="S23" s="1192"/>
      <c r="T23" s="297"/>
      <c r="U23" s="297"/>
      <c r="V23" s="443"/>
      <c r="W23" s="443"/>
      <c r="X23" s="443"/>
      <c r="Y23" s="443"/>
      <c r="Z23" s="443"/>
      <c r="AA23" s="443"/>
      <c r="AB23" s="443"/>
      <c r="AC23" s="443"/>
      <c r="AD23" s="443"/>
      <c r="AE23" s="443"/>
      <c r="AF23" s="443"/>
      <c r="AG23" s="443"/>
      <c r="AH23" s="443"/>
      <c r="AI23" s="443"/>
      <c r="AQ23" s="1072">
        <v>14</v>
      </c>
    </row>
    <row r="24" spans="1:43" ht="14.65" customHeight="1">
      <c r="Q24" s="310"/>
      <c r="R24" s="310"/>
      <c r="S24" s="3183"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3183"/>
      <c r="U24" s="3183"/>
      <c r="V24" s="3183"/>
      <c r="W24" s="3183"/>
      <c r="X24" s="3183"/>
      <c r="Y24" s="3183"/>
      <c r="Z24" s="3183"/>
      <c r="AA24" s="3183"/>
      <c r="AB24" s="3183"/>
      <c r="AC24" s="3183"/>
      <c r="AD24" s="3183"/>
      <c r="AE24" s="3183"/>
      <c r="AF24" s="3183"/>
      <c r="AG24" s="3183"/>
      <c r="AH24" s="3183"/>
      <c r="AI24" s="1160"/>
      <c r="AQ24" s="1072">
        <v>14</v>
      </c>
    </row>
    <row r="25" spans="1:43" ht="14.65" customHeight="1">
      <c r="Q25" s="310"/>
      <c r="R25" s="310"/>
      <c r="S25" s="3131" t="str">
        <f>IF(org=0,"Не определено",org)</f>
        <v>ООО "РСО"</v>
      </c>
      <c r="T25" s="3131"/>
      <c r="U25" s="3131"/>
      <c r="V25" s="3131"/>
      <c r="W25" s="3131"/>
      <c r="X25" s="3131"/>
      <c r="Y25" s="3131"/>
      <c r="Z25" s="3131"/>
      <c r="AA25" s="3131"/>
      <c r="AB25" s="3131"/>
      <c r="AC25" s="3131"/>
      <c r="AD25" s="3131"/>
      <c r="AE25" s="3131"/>
      <c r="AF25" s="3131"/>
      <c r="AG25" s="3131"/>
      <c r="AH25" s="3131"/>
      <c r="AI25" s="1160"/>
      <c r="AQ25" s="1072">
        <v>14</v>
      </c>
    </row>
    <row r="26" spans="1:43" ht="14.25" hidden="1" customHeight="1">
      <c r="Q26" s="310"/>
      <c r="R26" s="310"/>
      <c r="S26" s="1192"/>
      <c r="T26" s="297"/>
      <c r="U26" s="297"/>
      <c r="V26" s="257"/>
      <c r="W26" s="257"/>
      <c r="X26" s="257"/>
      <c r="Y26" s="257"/>
      <c r="Z26" s="257"/>
      <c r="AA26" s="257"/>
      <c r="AB26" s="257"/>
      <c r="AC26" s="257"/>
      <c r="AD26" s="257"/>
      <c r="AE26" s="257"/>
      <c r="AF26" s="257"/>
      <c r="AG26" s="257"/>
      <c r="AH26" s="257"/>
      <c r="AI26" s="257"/>
      <c r="AJ26" s="443"/>
      <c r="AQ26" s="1072">
        <v>0</v>
      </c>
    </row>
    <row r="27" spans="1:43" s="2028" customFormat="1" ht="25.5" hidden="1" customHeight="1">
      <c r="A27" s="1285"/>
      <c r="B27" s="1285"/>
      <c r="C27" s="1285"/>
      <c r="D27" s="1285"/>
      <c r="E27" s="1285"/>
      <c r="F27" s="1285"/>
      <c r="G27" s="1285"/>
      <c r="H27" s="1285"/>
      <c r="I27" s="1285"/>
      <c r="J27" s="1285"/>
      <c r="K27" s="1285"/>
      <c r="L27" s="1286"/>
      <c r="M27" s="1285"/>
      <c r="N27" s="1285"/>
      <c r="O27" s="1285"/>
      <c r="S27" s="3191" t="s">
        <v>42</v>
      </c>
      <c r="T27" s="3191"/>
      <c r="U27" s="1289"/>
      <c r="V27" s="3192" t="str">
        <f>IF(TITLE_NAME_OR_PR_CHANGE="",IF(TITLE_NAME_OR_PR="","",TITLE_NAME_OR_PR),TITLE_NAME_OR_PR_CHANGE)</f>
        <v/>
      </c>
      <c r="W27" s="3192"/>
      <c r="X27" s="3192"/>
      <c r="Y27" s="3192"/>
      <c r="Z27" s="3192"/>
      <c r="AA27" s="3192"/>
      <c r="AB27" s="261"/>
      <c r="AC27" s="3192" t="str">
        <f>IF(TITLE_NAME_OR_PR_CHANGE="",IF(TITLE_NAME_OR_PR="","",TITLE_NAME_OR_PR),TITLE_NAME_OR_PR_CHANGE)</f>
        <v/>
      </c>
      <c r="AD27" s="3192"/>
      <c r="AE27" s="3192"/>
      <c r="AF27" s="3192"/>
      <c r="AG27" s="3192"/>
      <c r="AH27" s="3192"/>
      <c r="AI27" s="261"/>
      <c r="AJ27" s="261"/>
      <c r="AK27" s="215"/>
      <c r="AL27" s="302"/>
      <c r="AM27" s="302"/>
      <c r="AN27" s="302"/>
      <c r="AO27" s="302"/>
      <c r="AP27" s="302"/>
      <c r="AQ27" s="352">
        <v>0</v>
      </c>
    </row>
    <row r="28" spans="1:43" s="2028" customFormat="1" ht="18.75" hidden="1" customHeight="1">
      <c r="A28" s="1285"/>
      <c r="B28" s="1285"/>
      <c r="C28" s="1285"/>
      <c r="D28" s="1285"/>
      <c r="E28" s="1285"/>
      <c r="F28" s="1285"/>
      <c r="G28" s="1285"/>
      <c r="H28" s="1285"/>
      <c r="I28" s="1285"/>
      <c r="J28" s="1285"/>
      <c r="K28" s="1285"/>
      <c r="L28" s="1286"/>
      <c r="M28" s="1285"/>
      <c r="N28" s="1285"/>
      <c r="O28" s="1285"/>
      <c r="S28" s="3191" t="s">
        <v>455</v>
      </c>
      <c r="T28" s="3191"/>
      <c r="U28" s="1289"/>
      <c r="V28" s="3201">
        <f>IF(TITLE_DATE_PR_CHANGE="",IF(TITLE_DATE_PR="","",TITLE_DATE_PR),TITLE_DATE_PR_CHANGE)</f>
        <v>45408</v>
      </c>
      <c r="W28" s="3201"/>
      <c r="X28" s="3201"/>
      <c r="Y28" s="3201"/>
      <c r="Z28" s="3201"/>
      <c r="AA28" s="3201"/>
      <c r="AB28" s="261"/>
      <c r="AC28" s="3201">
        <f>IF(TITLE_DATE_PR_CHANGE="",IF(TITLE_DATE_PR="","",TITLE_DATE_PR),TITLE_DATE_PR_CHANGE)</f>
        <v>45408</v>
      </c>
      <c r="AD28" s="3201"/>
      <c r="AE28" s="3201"/>
      <c r="AF28" s="3201"/>
      <c r="AG28" s="3201"/>
      <c r="AH28" s="3201"/>
      <c r="AI28" s="261"/>
      <c r="AJ28" s="261"/>
      <c r="AK28" s="215"/>
      <c r="AL28" s="302"/>
      <c r="AM28" s="302"/>
      <c r="AN28" s="302"/>
      <c r="AO28" s="302"/>
      <c r="AP28" s="302"/>
      <c r="AQ28" s="352">
        <v>0</v>
      </c>
    </row>
    <row r="29" spans="1:43" s="2028" customFormat="1" ht="18.75" hidden="1" customHeight="1">
      <c r="A29" s="1285"/>
      <c r="B29" s="1285"/>
      <c r="C29" s="1285"/>
      <c r="D29" s="1285"/>
      <c r="E29" s="1285"/>
      <c r="F29" s="1285"/>
      <c r="G29" s="1285"/>
      <c r="H29" s="1285"/>
      <c r="I29" s="1285"/>
      <c r="J29" s="1285"/>
      <c r="K29" s="1285"/>
      <c r="L29" s="1286"/>
      <c r="M29" s="1285"/>
      <c r="N29" s="1285"/>
      <c r="O29" s="1285"/>
      <c r="S29" s="3191" t="s">
        <v>456</v>
      </c>
      <c r="T29" s="3191"/>
      <c r="U29" s="1289"/>
      <c r="V29" s="3192" t="str">
        <f>IF(TITLE_NUMBER_PR_CHANGE="",IF(TITLE_NUMBER_PR="","",TITLE_NUMBER_PR),TITLE_NUMBER_PR_CHANGE)</f>
        <v>04-24/132, 04-24/131</v>
      </c>
      <c r="W29" s="3192"/>
      <c r="X29" s="3192"/>
      <c r="Y29" s="3192"/>
      <c r="Z29" s="3192"/>
      <c r="AA29" s="3192"/>
      <c r="AB29" s="261"/>
      <c r="AC29" s="3192" t="str">
        <f>IF(TITLE_NUMBER_PR_CHANGE="",IF(TITLE_NUMBER_PR="","",TITLE_NUMBER_PR),TITLE_NUMBER_PR_CHANGE)</f>
        <v>04-24/132, 04-24/131</v>
      </c>
      <c r="AD29" s="3192"/>
      <c r="AE29" s="3192"/>
      <c r="AF29" s="3192"/>
      <c r="AG29" s="3192"/>
      <c r="AH29" s="3192"/>
      <c r="AI29" s="261"/>
      <c r="AJ29" s="261"/>
      <c r="AK29" s="215"/>
      <c r="AL29" s="302"/>
      <c r="AM29" s="302"/>
      <c r="AN29" s="302"/>
      <c r="AO29" s="302"/>
      <c r="AP29" s="302"/>
      <c r="AQ29" s="352">
        <v>0</v>
      </c>
    </row>
    <row r="30" spans="1:43" s="2028" customFormat="1" ht="18.75" hidden="1" customHeight="1">
      <c r="A30" s="1285"/>
      <c r="B30" s="1285"/>
      <c r="C30" s="1285"/>
      <c r="D30" s="1285"/>
      <c r="E30" s="1285"/>
      <c r="F30" s="1285"/>
      <c r="G30" s="1285"/>
      <c r="H30" s="1285"/>
      <c r="I30" s="1285"/>
      <c r="J30" s="1285"/>
      <c r="K30" s="1285"/>
      <c r="L30" s="1286"/>
      <c r="M30" s="1285"/>
      <c r="N30" s="1285"/>
      <c r="O30" s="1285"/>
      <c r="S30" s="3191" t="s">
        <v>43</v>
      </c>
      <c r="T30" s="3191"/>
      <c r="U30" s="1289"/>
      <c r="V30" s="3192" t="str">
        <f>IF(TITLE_IST_PUB_CHANGE="",IF(TITLE_IST_PUB="","",TITLE_IST_PUB),TITLE_IST_PUB_CHANGE)</f>
        <v/>
      </c>
      <c r="W30" s="3192"/>
      <c r="X30" s="3192"/>
      <c r="Y30" s="3192"/>
      <c r="Z30" s="3192"/>
      <c r="AA30" s="3192"/>
      <c r="AB30" s="261"/>
      <c r="AC30" s="3192" t="str">
        <f>IF(TITLE_IST_PUB_CHANGE="",IF(TITLE_IST_PUB="","",TITLE_IST_PUB),TITLE_IST_PUB_CHANGE)</f>
        <v/>
      </c>
      <c r="AD30" s="3192"/>
      <c r="AE30" s="3192"/>
      <c r="AF30" s="3192"/>
      <c r="AG30" s="3192"/>
      <c r="AH30" s="3192"/>
      <c r="AI30" s="261"/>
      <c r="AJ30" s="261"/>
      <c r="AK30" s="215"/>
      <c r="AL30" s="302"/>
      <c r="AM30" s="302"/>
      <c r="AN30" s="302"/>
      <c r="AO30" s="302"/>
      <c r="AP30" s="302"/>
      <c r="AQ30" s="352">
        <v>0</v>
      </c>
    </row>
    <row r="31" spans="1:43" ht="14.25" customHeight="1">
      <c r="Q31" s="310"/>
      <c r="R31" s="310"/>
      <c r="S31" s="1192"/>
      <c r="T31" s="297"/>
      <c r="U31" s="297"/>
      <c r="V31" s="257"/>
      <c r="W31" s="257"/>
      <c r="X31" s="257"/>
      <c r="Y31" s="257"/>
      <c r="Z31" s="257"/>
      <c r="AA31" s="257"/>
      <c r="AB31" s="257"/>
      <c r="AC31" s="257"/>
      <c r="AD31" s="257"/>
      <c r="AE31" s="257"/>
      <c r="AF31" s="257"/>
      <c r="AG31" s="257"/>
      <c r="AH31" s="257"/>
      <c r="AI31" s="257"/>
      <c r="AJ31" s="443"/>
      <c r="AQ31" s="1072">
        <v>0</v>
      </c>
    </row>
    <row r="32" spans="1:43" s="2028" customFormat="1" ht="18.75" customHeight="1">
      <c r="A32" s="1285"/>
      <c r="B32" s="1285"/>
      <c r="C32" s="1285"/>
      <c r="D32" s="1285"/>
      <c r="E32" s="1285"/>
      <c r="F32" s="1285"/>
      <c r="G32" s="1285"/>
      <c r="H32" s="1285"/>
      <c r="I32" s="1285"/>
      <c r="J32" s="1285"/>
      <c r="K32" s="1285"/>
      <c r="L32" s="1286"/>
      <c r="M32" s="1285"/>
      <c r="N32" s="1285"/>
      <c r="O32" s="1285"/>
      <c r="S32" s="3191" t="s">
        <v>457</v>
      </c>
      <c r="T32" s="3191"/>
      <c r="U32" s="1289"/>
      <c r="V32" s="3201">
        <f>IF(TITLE_DATE_PR_CHANGE="",IF(TITLE_DATE_PR="","",TITLE_DATE_PR),TITLE_DATE_PR_CHANGE)</f>
        <v>45408</v>
      </c>
      <c r="W32" s="3201"/>
      <c r="X32" s="3201"/>
      <c r="Y32" s="3201"/>
      <c r="Z32" s="3201"/>
      <c r="AA32" s="3201"/>
      <c r="AB32" s="261"/>
      <c r="AC32" s="3201">
        <f>IF(TITLE_DATE_PR_CHANGE="",IF(TITLE_DATE_PR="","",TITLE_DATE_PR),TITLE_DATE_PR_CHANGE)</f>
        <v>45408</v>
      </c>
      <c r="AD32" s="3201"/>
      <c r="AE32" s="3201"/>
      <c r="AF32" s="3201"/>
      <c r="AG32" s="3201"/>
      <c r="AH32" s="3201"/>
      <c r="AI32" s="261"/>
      <c r="AJ32" s="261"/>
      <c r="AK32" s="215"/>
      <c r="AL32" s="302"/>
      <c r="AM32" s="302"/>
      <c r="AN32" s="302"/>
      <c r="AO32" s="302"/>
      <c r="AP32" s="302"/>
      <c r="AQ32" s="352">
        <v>0</v>
      </c>
    </row>
    <row r="33" spans="1:43" s="2028" customFormat="1" ht="18.75" customHeight="1">
      <c r="A33" s="1285"/>
      <c r="B33" s="1285"/>
      <c r="C33" s="1285"/>
      <c r="D33" s="1285"/>
      <c r="E33" s="1285"/>
      <c r="F33" s="1285"/>
      <c r="G33" s="1285"/>
      <c r="H33" s="1285"/>
      <c r="I33" s="1285"/>
      <c r="J33" s="1285"/>
      <c r="K33" s="1285"/>
      <c r="L33" s="1286"/>
      <c r="M33" s="1285"/>
      <c r="N33" s="1285"/>
      <c r="O33" s="1285"/>
      <c r="S33" s="3191" t="s">
        <v>458</v>
      </c>
      <c r="T33" s="3191"/>
      <c r="U33" s="1289"/>
      <c r="V33" s="3192" t="str">
        <f>IF(TITLE_NUMBER_PR_CHANGE="",IF(TITLE_NUMBER_PR="","",TITLE_NUMBER_PR),TITLE_NUMBER_PR_CHANGE)</f>
        <v>04-24/132, 04-24/131</v>
      </c>
      <c r="W33" s="3192"/>
      <c r="X33" s="3192"/>
      <c r="Y33" s="3192"/>
      <c r="Z33" s="3192"/>
      <c r="AA33" s="3192"/>
      <c r="AB33" s="261"/>
      <c r="AC33" s="3192" t="str">
        <f>IF(TITLE_NUMBER_PR_CHANGE="",IF(TITLE_NUMBER_PR="","",TITLE_NUMBER_PR),TITLE_NUMBER_PR_CHANGE)</f>
        <v>04-24/132, 04-24/131</v>
      </c>
      <c r="AD33" s="3192"/>
      <c r="AE33" s="3192"/>
      <c r="AF33" s="3192"/>
      <c r="AG33" s="3192"/>
      <c r="AH33" s="3192"/>
      <c r="AI33" s="261"/>
      <c r="AJ33" s="261"/>
      <c r="AK33" s="215"/>
      <c r="AL33" s="302"/>
      <c r="AM33" s="302"/>
      <c r="AN33" s="302"/>
      <c r="AO33" s="302"/>
      <c r="AP33" s="302"/>
      <c r="AQ33" s="352">
        <v>0</v>
      </c>
    </row>
    <row r="34" spans="1:43" s="2028" customFormat="1" ht="1" customHeight="1">
      <c r="A34" s="1285"/>
      <c r="B34" s="1285"/>
      <c r="C34" s="1285"/>
      <c r="D34" s="1285"/>
      <c r="E34" s="1285"/>
      <c r="F34" s="1285"/>
      <c r="G34" s="1285"/>
      <c r="H34" s="1285"/>
      <c r="I34" s="1285"/>
      <c r="J34" s="1285"/>
      <c r="K34" s="1285"/>
      <c r="L34" s="1286"/>
      <c r="M34" s="1285"/>
      <c r="N34" s="1285"/>
      <c r="O34" s="1285"/>
      <c r="S34" s="258"/>
      <c r="T34" s="258"/>
      <c r="U34" s="1371"/>
      <c r="V34" s="261"/>
      <c r="W34" s="261"/>
      <c r="X34" s="261"/>
      <c r="Y34" s="261"/>
      <c r="Z34" s="261"/>
      <c r="AA34" s="261"/>
      <c r="AB34" s="213" t="s">
        <v>459</v>
      </c>
      <c r="AC34" s="261"/>
      <c r="AD34" s="261"/>
      <c r="AE34" s="261"/>
      <c r="AF34" s="261"/>
      <c r="AG34" s="261"/>
      <c r="AH34" s="261"/>
      <c r="AI34" s="213" t="s">
        <v>459</v>
      </c>
      <c r="AL34" s="302"/>
      <c r="AM34" s="302"/>
      <c r="AN34" s="302"/>
      <c r="AO34" s="302"/>
      <c r="AP34" s="302"/>
      <c r="AQ34" s="352">
        <v>1</v>
      </c>
    </row>
    <row r="35" spans="1:43" ht="14.65" customHeight="1">
      <c r="Q35" s="310"/>
      <c r="R35" s="310"/>
      <c r="S35" s="1192"/>
      <c r="T35" s="297"/>
      <c r="U35" s="1161"/>
      <c r="V35" s="3193"/>
      <c r="W35" s="3193"/>
      <c r="X35" s="3193"/>
      <c r="Y35" s="3193"/>
      <c r="Z35" s="3193"/>
      <c r="AA35" s="3193"/>
      <c r="AB35" s="3193"/>
      <c r="AC35" s="3193"/>
      <c r="AD35" s="3193"/>
      <c r="AE35" s="3193"/>
      <c r="AF35" s="3193"/>
      <c r="AG35" s="3193"/>
      <c r="AH35" s="3193"/>
      <c r="AI35" s="3193"/>
      <c r="AQ35" s="1072">
        <v>14</v>
      </c>
    </row>
    <row r="36" spans="1:43" ht="14.65" customHeight="1">
      <c r="Q36" s="310"/>
      <c r="R36" s="310"/>
      <c r="S36" s="3067" t="s">
        <v>335</v>
      </c>
      <c r="T36" s="3067"/>
      <c r="U36" s="3067"/>
      <c r="V36" s="3067"/>
      <c r="W36" s="3067"/>
      <c r="X36" s="3067"/>
      <c r="Y36" s="3067"/>
      <c r="Z36" s="3067"/>
      <c r="AA36" s="3067"/>
      <c r="AB36" s="3067"/>
      <c r="AC36" s="3067"/>
      <c r="AD36" s="3067"/>
      <c r="AE36" s="3067"/>
      <c r="AF36" s="3067"/>
      <c r="AG36" s="3067"/>
      <c r="AH36" s="3067"/>
      <c r="AI36" s="3067"/>
      <c r="AJ36" s="3067"/>
      <c r="AK36" s="3067" t="s">
        <v>336</v>
      </c>
      <c r="AQ36" s="1072">
        <v>14</v>
      </c>
    </row>
    <row r="37" spans="1:43" ht="14.65" customHeight="1">
      <c r="Q37" s="310"/>
      <c r="R37" s="310"/>
      <c r="S37" s="3207" t="s">
        <v>89</v>
      </c>
      <c r="T37" s="3159" t="s">
        <v>460</v>
      </c>
      <c r="U37" s="236"/>
      <c r="V37" s="3208" t="s">
        <v>461</v>
      </c>
      <c r="W37" s="3209"/>
      <c r="X37" s="3209"/>
      <c r="Y37" s="3209"/>
      <c r="Z37" s="3209"/>
      <c r="AA37" s="3210"/>
      <c r="AB37" s="3211" t="s">
        <v>462</v>
      </c>
      <c r="AC37" s="3208" t="s">
        <v>461</v>
      </c>
      <c r="AD37" s="3209"/>
      <c r="AE37" s="3209"/>
      <c r="AF37" s="3209"/>
      <c r="AG37" s="3209"/>
      <c r="AH37" s="3210"/>
      <c r="AI37" s="3211" t="s">
        <v>463</v>
      </c>
      <c r="AJ37" s="3214" t="s">
        <v>464</v>
      </c>
      <c r="AK37" s="3067"/>
      <c r="AQ37" s="1072">
        <v>14</v>
      </c>
    </row>
    <row r="38" spans="1:43" ht="35.65" customHeight="1">
      <c r="Q38" s="310"/>
      <c r="R38" s="310"/>
      <c r="S38" s="3207"/>
      <c r="T38" s="3159"/>
      <c r="U38" s="952"/>
      <c r="V38" s="1369" t="s">
        <v>522</v>
      </c>
      <c r="W38" s="3038" t="s">
        <v>467</v>
      </c>
      <c r="X38" s="3037"/>
      <c r="Y38" s="3038" t="s">
        <v>468</v>
      </c>
      <c r="Z38" s="3044"/>
      <c r="AA38" s="3037"/>
      <c r="AB38" s="3212"/>
      <c r="AC38" s="1369" t="s">
        <v>522</v>
      </c>
      <c r="AD38" s="3038" t="s">
        <v>467</v>
      </c>
      <c r="AE38" s="3037"/>
      <c r="AF38" s="3038" t="s">
        <v>468</v>
      </c>
      <c r="AG38" s="3044"/>
      <c r="AH38" s="3037"/>
      <c r="AI38" s="3212"/>
      <c r="AJ38" s="3215"/>
      <c r="AK38" s="3067"/>
      <c r="AQ38" s="1072">
        <v>34</v>
      </c>
    </row>
    <row r="39" spans="1:43" ht="35.65" customHeight="1">
      <c r="A39" s="1287"/>
      <c r="B39" s="1287" t="s">
        <v>149</v>
      </c>
      <c r="C39" s="1287" t="s">
        <v>150</v>
      </c>
      <c r="D39" s="1287" t="s">
        <v>151</v>
      </c>
      <c r="E39" s="1281" t="s">
        <v>469</v>
      </c>
      <c r="F39" s="1281" t="s">
        <v>470</v>
      </c>
      <c r="G39" s="1281" t="s">
        <v>471</v>
      </c>
      <c r="H39" s="1281"/>
      <c r="I39" s="1281" t="s">
        <v>523</v>
      </c>
      <c r="J39" s="1281" t="s">
        <v>474</v>
      </c>
      <c r="K39" s="1281" t="s">
        <v>524</v>
      </c>
      <c r="L39" s="1281" t="s">
        <v>450</v>
      </c>
      <c r="Q39" s="310"/>
      <c r="R39" s="310"/>
      <c r="S39" s="3207"/>
      <c r="T39" s="3159"/>
      <c r="U39" s="237"/>
      <c r="V39" s="1369" t="s">
        <v>525</v>
      </c>
      <c r="W39" s="1139" t="s">
        <v>526</v>
      </c>
      <c r="X39" s="1139" t="s">
        <v>527</v>
      </c>
      <c r="Y39" s="1372" t="s">
        <v>478</v>
      </c>
      <c r="Z39" s="3167" t="s">
        <v>479</v>
      </c>
      <c r="AA39" s="3169"/>
      <c r="AB39" s="3213"/>
      <c r="AC39" s="1369" t="s">
        <v>525</v>
      </c>
      <c r="AD39" s="1139" t="s">
        <v>526</v>
      </c>
      <c r="AE39" s="1139" t="s">
        <v>527</v>
      </c>
      <c r="AF39" s="1372" t="s">
        <v>478</v>
      </c>
      <c r="AG39" s="3167" t="s">
        <v>479</v>
      </c>
      <c r="AH39" s="3169"/>
      <c r="AI39" s="3213"/>
      <c r="AJ39" s="3216"/>
      <c r="AK39" s="3067"/>
      <c r="AQ39" s="1072">
        <v>34</v>
      </c>
    </row>
    <row r="40" spans="1:43" s="2212" customFormat="1" ht="0" hidden="1" customHeight="1">
      <c r="A40" s="1287"/>
      <c r="B40" s="1287"/>
      <c r="C40" s="1287"/>
      <c r="D40" s="1287"/>
      <c r="E40" s="1287"/>
      <c r="F40" s="1287"/>
      <c r="G40" s="1287"/>
      <c r="H40" s="1287"/>
      <c r="I40" s="1287"/>
      <c r="J40" s="1287"/>
      <c r="K40" s="1287"/>
      <c r="L40" s="1281"/>
      <c r="M40" s="1279"/>
      <c r="N40" s="1279"/>
      <c r="O40" s="1279"/>
      <c r="P40" s="1163"/>
      <c r="Q40" s="1164"/>
      <c r="R40" s="1171">
        <v>1</v>
      </c>
      <c r="S40" s="1194" t="s">
        <v>124</v>
      </c>
      <c r="T40" s="1172" t="s">
        <v>104</v>
      </c>
      <c r="U40" s="1162" t="str">
        <f ca="1">OFFSET(U40,0,-1)</f>
        <v>2</v>
      </c>
      <c r="V40" s="1368">
        <f ca="1">OFFSET(V40,0,-1)+1</f>
        <v>3</v>
      </c>
      <c r="W40" s="1368">
        <f ca="1">OFFSET(W40,0,-1)+1</f>
        <v>4</v>
      </c>
      <c r="X40" s="1368">
        <f ca="1">OFFSET(X40,0,-1)+1</f>
        <v>5</v>
      </c>
      <c r="Y40" s="1368">
        <f ca="1">OFFSET(Y40,0,-1)+1</f>
        <v>6</v>
      </c>
      <c r="Z40" s="3206">
        <f ca="1">OFFSET(Z40,0,-1)+1</f>
        <v>7</v>
      </c>
      <c r="AA40" s="3206"/>
      <c r="AB40" s="1368">
        <f ca="1">OFFSET(AB40,0,-2)+1</f>
        <v>8</v>
      </c>
      <c r="AC40" s="1368">
        <f ca="1">OFFSET(AC40,0,-1)+1</f>
        <v>9</v>
      </c>
      <c r="AD40" s="1368">
        <f ca="1">OFFSET(AD40,0,-1)+1</f>
        <v>10</v>
      </c>
      <c r="AE40" s="1368">
        <f ca="1">OFFSET(AE40,0,-1)+1</f>
        <v>11</v>
      </c>
      <c r="AF40" s="1368">
        <f ca="1">OFFSET(AF40,0,-1)+1</f>
        <v>12</v>
      </c>
      <c r="AG40" s="3206">
        <f ca="1">OFFSET(AG40,0,-1)+1</f>
        <v>13</v>
      </c>
      <c r="AH40" s="3206"/>
      <c r="AI40" s="1368">
        <f ca="1">OFFSET(AI40,0,-2)+1</f>
        <v>14</v>
      </c>
      <c r="AJ40" s="1162">
        <f ca="1">OFFSET(AJ40,0,-1)</f>
        <v>14</v>
      </c>
      <c r="AK40" s="1368">
        <f ca="1">OFFSET(AK40,0,-1)+1</f>
        <v>15</v>
      </c>
      <c r="AL40" s="445"/>
      <c r="AM40" s="445"/>
      <c r="AN40" s="445"/>
      <c r="AO40" s="445"/>
      <c r="AP40" s="445"/>
      <c r="AQ40" s="430">
        <v>0</v>
      </c>
    </row>
    <row r="41" spans="1:43" ht="24" customHeight="1">
      <c r="A41" s="1280" t="s">
        <v>266</v>
      </c>
      <c r="B41" s="1280"/>
      <c r="C41" s="1280"/>
      <c r="D41" s="1280"/>
      <c r="E41" s="3199">
        <v>1</v>
      </c>
      <c r="F41" s="1280"/>
      <c r="G41" s="1280"/>
      <c r="H41" s="1280"/>
      <c r="I41" s="1280"/>
      <c r="J41" s="1280"/>
      <c r="K41" s="1280"/>
      <c r="L41" s="1281"/>
      <c r="M41" s="1282"/>
      <c r="N41" s="1282"/>
      <c r="O41" s="1282"/>
      <c r="P41" s="295"/>
      <c r="Q41" s="294"/>
      <c r="R41" s="289"/>
      <c r="S41" s="1374">
        <f>INDEX(PT_DIFFERENTIATION_NUM_NTAR,MATCH(A41,PT_DIFFERENTIATION_NTAR_ID,0))</f>
        <v>0</v>
      </c>
      <c r="T41" s="233" t="s">
        <v>137</v>
      </c>
      <c r="U41" s="235"/>
      <c r="V41" s="3185"/>
      <c r="W41" s="3186"/>
      <c r="X41" s="3186"/>
      <c r="Y41" s="3186"/>
      <c r="Z41" s="3186"/>
      <c r="AA41" s="3186"/>
      <c r="AB41" s="3187"/>
      <c r="AC41" s="3185" t="str">
        <f>INDEX(PT_DIFFERENTIATION_NTAR,MATCH(A41,PT_DIFFERENTIATION_NTAR_ID,0))</f>
        <v/>
      </c>
      <c r="AD41" s="3186"/>
      <c r="AE41" s="3186"/>
      <c r="AF41" s="3186"/>
      <c r="AG41" s="3186"/>
      <c r="AH41" s="3186"/>
      <c r="AI41" s="3186"/>
      <c r="AJ41" s="3187"/>
      <c r="AK41"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4"/>
      <c r="AN41" s="434" t="str">
        <f t="shared" ref="AN41:AN53" si="1">IF(T41="","",T41)</f>
        <v>Наименование тарифа</v>
      </c>
      <c r="AO41" s="434"/>
      <c r="AP41" s="434"/>
      <c r="AQ41" s="1072">
        <v>23</v>
      </c>
    </row>
    <row r="42" spans="1:43" ht="24" customHeight="1">
      <c r="A42" s="1280" t="s">
        <v>266</v>
      </c>
      <c r="B42" s="1280" t="s">
        <v>267</v>
      </c>
      <c r="C42" s="1280"/>
      <c r="D42" s="1280"/>
      <c r="E42" s="3200"/>
      <c r="F42" s="3199">
        <v>1</v>
      </c>
      <c r="G42" s="1280"/>
      <c r="H42" s="1280"/>
      <c r="I42" s="1280"/>
      <c r="J42" s="1280"/>
      <c r="K42" s="1280"/>
      <c r="L42" s="1281"/>
      <c r="M42" s="1282"/>
      <c r="N42" s="1282"/>
      <c r="O42" s="1282"/>
      <c r="P42" s="1370"/>
      <c r="Q42" s="286"/>
      <c r="R42" s="287"/>
      <c r="S42" s="1374" t="str">
        <f>INDEX(PT_DIFFERENTIATION_NUM_TER,MATCH(B42,PT_DIFFERENTIATION_TER_ID,0))</f>
        <v>.</v>
      </c>
      <c r="T42" s="243" t="s">
        <v>432</v>
      </c>
      <c r="U42" s="235"/>
      <c r="V42" s="3185"/>
      <c r="W42" s="3186"/>
      <c r="X42" s="3186"/>
      <c r="Y42" s="3186"/>
      <c r="Z42" s="3186"/>
      <c r="AA42" s="3186"/>
      <c r="AB42" s="3187"/>
      <c r="AC42" s="3185" t="str">
        <f>INDEX(PT_DIFFERENTIATION_TER,MATCH(B42,PT_DIFFERENTIATION_TER_ID,0))</f>
        <v/>
      </c>
      <c r="AD42" s="3186"/>
      <c r="AE42" s="3186"/>
      <c r="AF42" s="3186"/>
      <c r="AG42" s="3186"/>
      <c r="AH42" s="3186"/>
      <c r="AI42" s="3186"/>
      <c r="AJ42" s="3187"/>
      <c r="AK42" s="1175" t="s">
        <v>433</v>
      </c>
      <c r="AM42" s="434"/>
      <c r="AN42" s="434" t="str">
        <f t="shared" si="1"/>
        <v>Территория действия тарифа</v>
      </c>
      <c r="AO42" s="434"/>
      <c r="AP42" s="434"/>
      <c r="AQ42" s="1072">
        <v>23</v>
      </c>
    </row>
    <row r="43" spans="1:43" ht="24" customHeight="1">
      <c r="A43" s="1280" t="s">
        <v>266</v>
      </c>
      <c r="B43" s="1280" t="s">
        <v>267</v>
      </c>
      <c r="C43" s="1280" t="s">
        <v>268</v>
      </c>
      <c r="D43" s="1280"/>
      <c r="E43" s="3200"/>
      <c r="F43" s="3200"/>
      <c r="G43" s="3199">
        <v>1</v>
      </c>
      <c r="H43" s="1280"/>
      <c r="I43" s="1280"/>
      <c r="J43" s="1280"/>
      <c r="K43" s="1280"/>
      <c r="L43" s="1281"/>
      <c r="M43" s="1282"/>
      <c r="N43" s="1282"/>
      <c r="O43" s="1282"/>
      <c r="P43" s="288"/>
      <c r="Q43" s="286"/>
      <c r="R43" s="287"/>
      <c r="S43" s="1374" t="str">
        <f>INDEX(PT_DIFFERENTIATION_NUM_CS,MATCH(C43,PT_DIFFERENTIATION_CS_ID,0))</f>
        <v>..</v>
      </c>
      <c r="T43" s="244" t="s">
        <v>514</v>
      </c>
      <c r="U43" s="235"/>
      <c r="V43" s="3185"/>
      <c r="W43" s="3186"/>
      <c r="X43" s="3186"/>
      <c r="Y43" s="3186"/>
      <c r="Z43" s="3186"/>
      <c r="AA43" s="3186"/>
      <c r="AB43" s="3187"/>
      <c r="AC43" s="3185" t="str">
        <f>INDEX(PT_DIFFERENTIATION_CS,MATCH(C43,PT_DIFFERENTIATION_CS_ID,0))</f>
        <v/>
      </c>
      <c r="AD43" s="3186"/>
      <c r="AE43" s="3186"/>
      <c r="AF43" s="3186"/>
      <c r="AG43" s="3186"/>
      <c r="AH43" s="3186"/>
      <c r="AI43" s="3186"/>
      <c r="AJ43" s="3187"/>
      <c r="AK43" s="1175" t="s">
        <v>515</v>
      </c>
      <c r="AM43" s="434"/>
      <c r="AN43" s="434" t="str">
        <f t="shared" si="1"/>
        <v>Наименование централизованной системы холодного водоснабжения</v>
      </c>
      <c r="AO43" s="434"/>
      <c r="AP43" s="434"/>
      <c r="AQ43" s="1072">
        <v>23</v>
      </c>
    </row>
    <row r="44" spans="1:43" ht="24" customHeight="1">
      <c r="A44" s="1280" t="s">
        <v>266</v>
      </c>
      <c r="B44" s="1280" t="s">
        <v>267</v>
      </c>
      <c r="C44" s="1280" t="s">
        <v>268</v>
      </c>
      <c r="D44" s="1280" t="s">
        <v>529</v>
      </c>
      <c r="E44" s="3200"/>
      <c r="F44" s="3200"/>
      <c r="G44" s="3200"/>
      <c r="H44" s="3200"/>
      <c r="I44" s="3197" t="str">
        <f>S43&amp;".1"</f>
        <v>...1</v>
      </c>
      <c r="J44" s="1280"/>
      <c r="K44" s="1280"/>
      <c r="L44" s="1281"/>
      <c r="P44" s="3198">
        <v>1</v>
      </c>
      <c r="Q44" s="1367"/>
      <c r="R44" s="290"/>
      <c r="S44" s="1374" t="str">
        <f>$I44</f>
        <v>...1</v>
      </c>
      <c r="T44" s="220" t="s">
        <v>516</v>
      </c>
      <c r="U44" s="235"/>
      <c r="V44" s="3266"/>
      <c r="W44" s="3267"/>
      <c r="X44" s="3267"/>
      <c r="Y44" s="3267"/>
      <c r="Z44" s="3267"/>
      <c r="AA44" s="3267"/>
      <c r="AB44" s="3268"/>
      <c r="AC44" s="3269"/>
      <c r="AD44" s="3270"/>
      <c r="AE44" s="3270"/>
      <c r="AF44" s="3270"/>
      <c r="AG44" s="3270"/>
      <c r="AH44" s="3270"/>
      <c r="AI44" s="3270"/>
      <c r="AJ44" s="3271"/>
      <c r="AK44" s="1175" t="s">
        <v>517</v>
      </c>
      <c r="AM44" s="434"/>
      <c r="AN44" s="434" t="str">
        <f t="shared" si="1"/>
        <v>Наименование признака дифференциации</v>
      </c>
      <c r="AO44" s="434"/>
      <c r="AP44" s="434"/>
      <c r="AQ44" s="1072">
        <v>23</v>
      </c>
    </row>
    <row r="45" spans="1:43" ht="24" customHeight="1">
      <c r="A45" s="1280" t="s">
        <v>266</v>
      </c>
      <c r="B45" s="1280" t="s">
        <v>267</v>
      </c>
      <c r="C45" s="1280" t="s">
        <v>268</v>
      </c>
      <c r="D45" s="1280" t="s">
        <v>529</v>
      </c>
      <c r="E45" s="3200"/>
      <c r="F45" s="3200"/>
      <c r="G45" s="3200"/>
      <c r="H45" s="3200"/>
      <c r="I45" s="3220"/>
      <c r="J45" s="3197" t="str">
        <f>I44&amp;".1"</f>
        <v>...1.1</v>
      </c>
      <c r="K45" s="1280"/>
      <c r="L45" s="1281" t="s">
        <v>441</v>
      </c>
      <c r="P45" s="3198"/>
      <c r="Q45" s="3198">
        <v>1</v>
      </c>
      <c r="R45" s="291"/>
      <c r="S45" s="1374" t="str">
        <f>$J45</f>
        <v>...1.1</v>
      </c>
      <c r="T45" s="221" t="s">
        <v>442</v>
      </c>
      <c r="U45" s="235"/>
      <c r="V45" s="3188"/>
      <c r="W45" s="3189"/>
      <c r="X45" s="3189"/>
      <c r="Y45" s="3189"/>
      <c r="Z45" s="3189"/>
      <c r="AA45" s="3189"/>
      <c r="AB45" s="3190"/>
      <c r="AC45" s="3188"/>
      <c r="AD45" s="3189"/>
      <c r="AE45" s="3189"/>
      <c r="AF45" s="3189"/>
      <c r="AG45" s="3189"/>
      <c r="AH45" s="3189"/>
      <c r="AI45" s="3189"/>
      <c r="AJ45" s="3190"/>
      <c r="AK45" s="1224" t="s">
        <v>518</v>
      </c>
      <c r="AM45" s="434"/>
      <c r="AN45" s="434" t="str">
        <f t="shared" si="1"/>
        <v>Группа потребителей</v>
      </c>
      <c r="AO45" s="434"/>
      <c r="AP45" s="434"/>
      <c r="AQ45" s="1072">
        <v>23</v>
      </c>
    </row>
    <row r="46" spans="1:43" ht="24" customHeight="1">
      <c r="A46" s="1280" t="s">
        <v>266</v>
      </c>
      <c r="B46" s="1280" t="s">
        <v>267</v>
      </c>
      <c r="C46" s="1280" t="s">
        <v>268</v>
      </c>
      <c r="D46" s="1280" t="s">
        <v>529</v>
      </c>
      <c r="E46" s="3200"/>
      <c r="F46" s="3200"/>
      <c r="G46" s="3200"/>
      <c r="H46" s="3200"/>
      <c r="I46" s="3220"/>
      <c r="J46" s="3220"/>
      <c r="K46" s="3197" t="str">
        <f>J45&amp;".1"</f>
        <v>...1.1.1</v>
      </c>
      <c r="L46" s="1281"/>
      <c r="P46" s="3198"/>
      <c r="Q46" s="3198"/>
      <c r="R46" s="291">
        <v>1</v>
      </c>
      <c r="S46" s="1374" t="str">
        <f>$K46</f>
        <v>...1.1.1</v>
      </c>
      <c r="T46" s="1354"/>
      <c r="U46" s="235"/>
      <c r="V46" s="685"/>
      <c r="W46" s="685"/>
      <c r="X46" s="1174"/>
      <c r="Y46" s="3202"/>
      <c r="Z46" s="3048" t="s">
        <v>67</v>
      </c>
      <c r="AA46" s="3202"/>
      <c r="AB46" s="3048" t="s">
        <v>67</v>
      </c>
      <c r="AC46" s="685"/>
      <c r="AD46" s="685"/>
      <c r="AE46" s="1174"/>
      <c r="AF46" s="3202"/>
      <c r="AG46" s="3048" t="s">
        <v>67</v>
      </c>
      <c r="AH46" s="3221"/>
      <c r="AI46" s="3048" t="s">
        <v>67</v>
      </c>
      <c r="AJ46" s="1355"/>
      <c r="AK46" s="3265"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5" t="e">
        <f ca="1">STRCHECKDATE(V47:AJ47)</f>
        <v>#NAME?</v>
      </c>
      <c r="AM46" s="434"/>
      <c r="AN46" s="434" t="str">
        <f t="shared" si="1"/>
        <v/>
      </c>
      <c r="AO46" s="434"/>
      <c r="AP46" s="434"/>
      <c r="AQ46" s="1072">
        <v>23</v>
      </c>
    </row>
    <row r="47" spans="1:43" ht="0" hidden="1" customHeight="1">
      <c r="A47" s="1280" t="s">
        <v>266</v>
      </c>
      <c r="B47" s="1280" t="s">
        <v>267</v>
      </c>
      <c r="C47" s="1280" t="s">
        <v>268</v>
      </c>
      <c r="D47" s="1280" t="s">
        <v>529</v>
      </c>
      <c r="E47" s="3200"/>
      <c r="F47" s="3200"/>
      <c r="G47" s="3200"/>
      <c r="H47" s="3200"/>
      <c r="I47" s="3220"/>
      <c r="J47" s="3220"/>
      <c r="K47" s="3197"/>
      <c r="L47" s="1281"/>
      <c r="P47" s="3198"/>
      <c r="Q47" s="3198"/>
      <c r="R47" s="291"/>
      <c r="S47" s="1373"/>
      <c r="T47" s="235"/>
      <c r="U47" s="235"/>
      <c r="V47" s="260"/>
      <c r="W47" s="260"/>
      <c r="X47" s="263" t="str">
        <f>Y46&amp;"-"&amp;AA46</f>
        <v>-</v>
      </c>
      <c r="Y47" s="3203"/>
      <c r="Z47" s="3048"/>
      <c r="AA47" s="3203"/>
      <c r="AB47" s="3048"/>
      <c r="AC47" s="260"/>
      <c r="AD47" s="260"/>
      <c r="AE47" s="263" t="str">
        <f>AF46&amp;"-"&amp;AH46</f>
        <v>-</v>
      </c>
      <c r="AF47" s="3203"/>
      <c r="AG47" s="3048"/>
      <c r="AH47" s="3222"/>
      <c r="AI47" s="3048"/>
      <c r="AJ47" s="1356"/>
      <c r="AK47" s="3265"/>
      <c r="AM47" s="434"/>
      <c r="AN47" s="434" t="str">
        <f t="shared" si="1"/>
        <v/>
      </c>
      <c r="AO47" s="434"/>
      <c r="AP47" s="434"/>
      <c r="AQ47" s="1072">
        <v>0</v>
      </c>
    </row>
    <row r="48" spans="1:43" ht="21" customHeight="1">
      <c r="A48" s="1280" t="s">
        <v>266</v>
      </c>
      <c r="B48" s="1280" t="s">
        <v>267</v>
      </c>
      <c r="C48" s="1280" t="s">
        <v>268</v>
      </c>
      <c r="D48" s="1280" t="s">
        <v>529</v>
      </c>
      <c r="E48" s="3200"/>
      <c r="F48" s="3200"/>
      <c r="G48" s="3200"/>
      <c r="H48" s="3200"/>
      <c r="I48" s="3220"/>
      <c r="J48" s="3197"/>
      <c r="K48" s="1280"/>
      <c r="L48" s="1281"/>
      <c r="P48" s="3198"/>
      <c r="Q48" s="3198"/>
      <c r="R48" s="290"/>
      <c r="S48" s="1195"/>
      <c r="T48" s="222" t="s">
        <v>519</v>
      </c>
      <c r="U48" s="301"/>
      <c r="V48" s="301"/>
      <c r="W48" s="301"/>
      <c r="X48" s="301"/>
      <c r="Y48" s="301"/>
      <c r="Z48" s="301"/>
      <c r="AA48" s="301"/>
      <c r="AB48" s="301"/>
      <c r="AC48" s="301"/>
      <c r="AD48" s="301"/>
      <c r="AE48" s="301"/>
      <c r="AF48" s="301"/>
      <c r="AG48" s="301"/>
      <c r="AH48" s="301"/>
      <c r="AI48" s="301"/>
      <c r="AJ48" s="301"/>
      <c r="AK48" s="1175" t="s">
        <v>520</v>
      </c>
      <c r="AM48" s="434"/>
      <c r="AN48" s="434" t="str">
        <f t="shared" si="1"/>
        <v>Добавить значение признака дифференциации</v>
      </c>
      <c r="AO48" s="434"/>
      <c r="AP48" s="434"/>
      <c r="AQ48" s="1072">
        <v>20</v>
      </c>
    </row>
    <row r="49" spans="1:43" ht="22" customHeight="1">
      <c r="A49" s="1280" t="s">
        <v>266</v>
      </c>
      <c r="B49" s="1280" t="s">
        <v>267</v>
      </c>
      <c r="C49" s="1280" t="s">
        <v>268</v>
      </c>
      <c r="D49" s="1280" t="s">
        <v>529</v>
      </c>
      <c r="E49" s="3200"/>
      <c r="F49" s="3200"/>
      <c r="G49" s="3200"/>
      <c r="H49" s="3200"/>
      <c r="I49" s="3197"/>
      <c r="J49" s="1280"/>
      <c r="K49" s="1280"/>
      <c r="L49" s="1281"/>
      <c r="P49" s="3198"/>
      <c r="Q49" s="1367"/>
      <c r="R49" s="290"/>
      <c r="S49" s="1195"/>
      <c r="T49" s="299" t="s">
        <v>447</v>
      </c>
      <c r="U49" s="301"/>
      <c r="V49" s="301"/>
      <c r="W49" s="301"/>
      <c r="X49" s="301"/>
      <c r="Y49" s="301"/>
      <c r="Z49" s="301"/>
      <c r="AA49" s="301"/>
      <c r="AB49" s="300"/>
      <c r="AC49" s="301"/>
      <c r="AD49" s="301"/>
      <c r="AE49" s="301"/>
      <c r="AF49" s="301"/>
      <c r="AG49" s="301"/>
      <c r="AH49" s="301"/>
      <c r="AI49" s="300"/>
      <c r="AJ49" s="301"/>
      <c r="AK49" s="1357"/>
      <c r="AM49" s="434"/>
      <c r="AN49" s="434" t="str">
        <f t="shared" si="1"/>
        <v>Добавить группу потребителей</v>
      </c>
      <c r="AO49" s="434"/>
      <c r="AP49" s="434"/>
      <c r="AQ49" s="1072">
        <v>21</v>
      </c>
    </row>
    <row r="50" spans="1:43" ht="22" customHeight="1">
      <c r="A50" s="1280" t="s">
        <v>266</v>
      </c>
      <c r="B50" s="1280" t="s">
        <v>267</v>
      </c>
      <c r="C50" s="1280" t="s">
        <v>268</v>
      </c>
      <c r="D50" s="1280" t="s">
        <v>529</v>
      </c>
      <c r="E50" s="3200"/>
      <c r="F50" s="3200"/>
      <c r="G50" s="3200"/>
      <c r="H50" s="3199"/>
      <c r="I50" s="1280"/>
      <c r="J50" s="1280"/>
      <c r="K50" s="1280"/>
      <c r="L50" s="1281"/>
      <c r="M50" s="1282"/>
      <c r="N50" s="1282"/>
      <c r="O50" s="471"/>
      <c r="P50" s="294"/>
      <c r="Q50" s="309"/>
      <c r="R50" s="289"/>
      <c r="S50" s="1195"/>
      <c r="T50" s="306" t="s">
        <v>521</v>
      </c>
      <c r="U50" s="301"/>
      <c r="V50" s="301"/>
      <c r="W50" s="301"/>
      <c r="X50" s="301"/>
      <c r="Y50" s="301"/>
      <c r="Z50" s="301"/>
      <c r="AA50" s="301"/>
      <c r="AB50" s="300"/>
      <c r="AC50" s="301"/>
      <c r="AD50" s="301"/>
      <c r="AE50" s="301"/>
      <c r="AF50" s="301"/>
      <c r="AG50" s="301"/>
      <c r="AH50" s="301"/>
      <c r="AI50" s="300"/>
      <c r="AJ50" s="301"/>
      <c r="AK50" s="238"/>
      <c r="AM50" s="434"/>
      <c r="AN50" s="434" t="str">
        <f t="shared" si="1"/>
        <v>Добавить наименование признака дифференциации</v>
      </c>
      <c r="AO50" s="434"/>
      <c r="AP50" s="434"/>
      <c r="AQ50" s="1072">
        <v>21</v>
      </c>
    </row>
    <row r="51" spans="1:43" s="2017" customFormat="1" ht="0" hidden="1" customHeight="1">
      <c r="A51" s="1260" t="s">
        <v>266</v>
      </c>
      <c r="B51" s="1260" t="s">
        <v>267</v>
      </c>
      <c r="C51" s="1231"/>
      <c r="D51" s="1231"/>
      <c r="E51" s="3200"/>
      <c r="F51" s="3199"/>
      <c r="G51" s="1231"/>
      <c r="H51" s="1231"/>
      <c r="I51" s="1231"/>
      <c r="J51" s="1231"/>
      <c r="K51" s="1231"/>
      <c r="L51" s="1375"/>
      <c r="M51" s="1238"/>
      <c r="N51" s="1238"/>
      <c r="P51" s="1233"/>
      <c r="Q51" s="1234"/>
      <c r="R51" s="1233"/>
      <c r="S51" s="1239"/>
      <c r="T51" s="1242" t="s">
        <v>181</v>
      </c>
      <c r="U51" s="1241"/>
      <c r="V51" s="1241"/>
      <c r="W51" s="1241"/>
      <c r="X51" s="1241"/>
      <c r="Y51" s="1241"/>
      <c r="Z51" s="1241"/>
      <c r="AA51" s="1241"/>
      <c r="AB51" s="1241"/>
      <c r="AC51" s="1241"/>
      <c r="AD51" s="1241"/>
      <c r="AE51" s="1241"/>
      <c r="AF51" s="1241"/>
      <c r="AG51" s="1241"/>
      <c r="AH51" s="1241"/>
      <c r="AI51" s="1241"/>
      <c r="AJ51" s="1241"/>
      <c r="AK51" s="1241"/>
      <c r="AM51" s="717"/>
      <c r="AN51" s="717" t="str">
        <f t="shared" si="1"/>
        <v>Добавить централизованную систему для дифференциации</v>
      </c>
      <c r="AO51" s="717"/>
      <c r="AP51" s="717"/>
      <c r="AQ51" s="452">
        <v>0</v>
      </c>
    </row>
    <row r="52" spans="1:43" s="2017" customFormat="1" ht="0" hidden="1" customHeight="1">
      <c r="A52" s="1260" t="s">
        <v>266</v>
      </c>
      <c r="B52" s="1260"/>
      <c r="C52" s="1260"/>
      <c r="D52" s="1260"/>
      <c r="E52" s="3199"/>
      <c r="F52" s="1260"/>
      <c r="G52" s="1260"/>
      <c r="H52" s="1260"/>
      <c r="I52" s="1260"/>
      <c r="J52" s="1260"/>
      <c r="K52" s="1260"/>
      <c r="L52" s="1263"/>
      <c r="M52" s="1238"/>
      <c r="N52" s="1238"/>
      <c r="O52" s="452"/>
      <c r="P52" s="314"/>
      <c r="Q52" s="1261"/>
      <c r="R52" s="314"/>
      <c r="S52" s="1239"/>
      <c r="T52" s="1242" t="s">
        <v>188</v>
      </c>
      <c r="U52" s="1241"/>
      <c r="V52" s="1241"/>
      <c r="W52" s="1241"/>
      <c r="X52" s="1241"/>
      <c r="Y52" s="1241"/>
      <c r="Z52" s="1241"/>
      <c r="AA52" s="1241"/>
      <c r="AB52" s="1241"/>
      <c r="AC52" s="1241"/>
      <c r="AD52" s="1241"/>
      <c r="AE52" s="1241"/>
      <c r="AF52" s="1241"/>
      <c r="AG52" s="1241"/>
      <c r="AH52" s="1241"/>
      <c r="AI52" s="1241"/>
      <c r="AJ52" s="1241"/>
      <c r="AK52" s="1241"/>
      <c r="AM52" s="434"/>
      <c r="AN52" s="434" t="str">
        <f t="shared" si="1"/>
        <v>Добавить территорию для дифференциации</v>
      </c>
      <c r="AO52" s="434"/>
      <c r="AP52" s="434"/>
      <c r="AQ52" s="445">
        <v>0</v>
      </c>
    </row>
    <row r="53" spans="1:43" s="2017" customFormat="1" ht="0" hidden="1" customHeight="1">
      <c r="A53" s="1231"/>
      <c r="B53" s="1231"/>
      <c r="C53" s="1231"/>
      <c r="D53" s="1231"/>
      <c r="E53" s="1260"/>
      <c r="F53" s="1231"/>
      <c r="G53" s="1231"/>
      <c r="H53" s="1231"/>
      <c r="I53" s="1231"/>
      <c r="J53" s="1231"/>
      <c r="K53" s="1231"/>
      <c r="L53" s="1375"/>
      <c r="M53" s="1238"/>
      <c r="N53" s="1238"/>
      <c r="P53" s="1233"/>
      <c r="Q53" s="1234"/>
      <c r="R53" s="1233"/>
      <c r="S53" s="1239"/>
      <c r="T53" s="1242" t="s">
        <v>189</v>
      </c>
      <c r="U53" s="1241"/>
      <c r="V53" s="1241"/>
      <c r="W53" s="1241"/>
      <c r="X53" s="1241"/>
      <c r="Y53" s="1241"/>
      <c r="Z53" s="1241"/>
      <c r="AA53" s="1241"/>
      <c r="AB53" s="1241"/>
      <c r="AC53" s="1241"/>
      <c r="AD53" s="1241"/>
      <c r="AE53" s="1241"/>
      <c r="AF53" s="1241"/>
      <c r="AG53" s="1241"/>
      <c r="AH53" s="1241"/>
      <c r="AI53" s="1241"/>
      <c r="AJ53" s="1241"/>
      <c r="AK53" s="1241"/>
      <c r="AM53" s="717"/>
      <c r="AN53" s="717" t="str">
        <f t="shared" si="1"/>
        <v>Добавить наименование тарифа</v>
      </c>
      <c r="AO53" s="717"/>
      <c r="AP53" s="717"/>
      <c r="AQ53" s="452">
        <v>0</v>
      </c>
    </row>
    <row r="54" spans="1:43" ht="11.5" customHeight="1">
      <c r="M54" s="1077"/>
      <c r="N54" s="1077"/>
      <c r="O54" s="471"/>
      <c r="P54" s="1072"/>
      <c r="Q54" s="1072"/>
      <c r="R54" s="1072"/>
      <c r="S54" s="1072"/>
      <c r="AL54" s="1072"/>
      <c r="AM54" s="1072"/>
      <c r="AN54" s="1072"/>
      <c r="AO54" s="1072"/>
      <c r="AP54" s="1072"/>
      <c r="AQ54" s="1072">
        <v>11</v>
      </c>
    </row>
    <row r="55" spans="1:43" ht="14.65" customHeight="1">
      <c r="O55" s="471"/>
      <c r="S55" s="1170"/>
      <c r="T55" s="3219"/>
      <c r="U55" s="3219"/>
      <c r="V55" s="3219"/>
      <c r="W55" s="3219"/>
      <c r="X55" s="3219"/>
      <c r="Y55" s="3219"/>
      <c r="Z55" s="3219"/>
      <c r="AA55" s="3219"/>
      <c r="AB55" s="3219"/>
      <c r="AC55" s="3219"/>
      <c r="AD55" s="3219"/>
      <c r="AE55" s="3219"/>
      <c r="AF55" s="3219"/>
      <c r="AG55" s="3219"/>
      <c r="AH55" s="3219"/>
      <c r="AI55" s="3219"/>
      <c r="AJ55" s="3219"/>
      <c r="AK55" s="3219"/>
      <c r="AQ55" s="1072">
        <v>14</v>
      </c>
    </row>
    <row r="56" spans="1:43" ht="14.65" customHeight="1">
      <c r="O56" s="471"/>
      <c r="AQ56" s="1072">
        <v>14</v>
      </c>
    </row>
    <row r="57" spans="1:43" ht="14.65" customHeight="1">
      <c r="O57" s="471"/>
      <c r="S57" s="1170"/>
      <c r="T57" s="3219"/>
      <c r="U57" s="3219"/>
      <c r="V57" s="3219"/>
      <c r="W57" s="3219"/>
      <c r="X57" s="3219"/>
      <c r="Y57" s="3219"/>
      <c r="Z57" s="3219"/>
      <c r="AA57" s="3219"/>
      <c r="AB57" s="3219"/>
      <c r="AC57" s="3219"/>
      <c r="AD57" s="3219"/>
      <c r="AE57" s="3219"/>
      <c r="AF57" s="3219"/>
      <c r="AG57" s="3219"/>
      <c r="AH57" s="3219"/>
      <c r="AI57" s="3219"/>
      <c r="AJ57" s="3219"/>
      <c r="AK57" s="3219"/>
      <c r="AQ57" s="1072">
        <v>14</v>
      </c>
    </row>
    <row r="58" spans="1:43" ht="22.5" hidden="1" customHeight="1">
      <c r="A58" s="1077" t="s">
        <v>83</v>
      </c>
      <c r="B58" s="1077">
        <v>0</v>
      </c>
      <c r="C58" s="1077">
        <v>0</v>
      </c>
      <c r="D58" s="1077">
        <v>0</v>
      </c>
      <c r="E58" s="1077">
        <v>0</v>
      </c>
      <c r="F58" s="1077">
        <v>0</v>
      </c>
      <c r="G58" s="1077">
        <v>0</v>
      </c>
      <c r="H58" s="1077">
        <v>0</v>
      </c>
      <c r="I58" s="1077">
        <v>0</v>
      </c>
      <c r="J58" s="1077">
        <v>0</v>
      </c>
      <c r="K58" s="1077">
        <v>0</v>
      </c>
      <c r="L58" s="1364">
        <v>0</v>
      </c>
      <c r="M58" s="1279">
        <v>0</v>
      </c>
      <c r="N58" s="1279">
        <v>0</v>
      </c>
      <c r="O58" s="1279">
        <v>0</v>
      </c>
      <c r="P58" s="1363">
        <v>3</v>
      </c>
      <c r="Q58" s="279">
        <v>3</v>
      </c>
      <c r="R58" s="279">
        <v>3</v>
      </c>
      <c r="S58" s="515">
        <v>12</v>
      </c>
      <c r="T58" s="1072">
        <v>35</v>
      </c>
      <c r="U58" s="1072">
        <v>0</v>
      </c>
      <c r="V58" s="1072">
        <v>0</v>
      </c>
      <c r="W58" s="1072">
        <v>0</v>
      </c>
      <c r="X58" s="1072">
        <v>0</v>
      </c>
      <c r="Y58" s="1072">
        <v>0</v>
      </c>
      <c r="Z58" s="1072">
        <v>0</v>
      </c>
      <c r="AA58" s="1072">
        <v>0</v>
      </c>
      <c r="AB58" s="1072">
        <v>0</v>
      </c>
      <c r="AC58" s="1072">
        <v>24</v>
      </c>
      <c r="AD58" s="1072">
        <v>24</v>
      </c>
      <c r="AE58" s="1072">
        <v>24</v>
      </c>
      <c r="AF58" s="1072">
        <v>11</v>
      </c>
      <c r="AG58" s="1072">
        <v>3</v>
      </c>
      <c r="AH58" s="1072">
        <v>11</v>
      </c>
      <c r="AI58" s="1072">
        <v>0</v>
      </c>
      <c r="AJ58" s="1072">
        <v>4</v>
      </c>
      <c r="AK58" s="1072">
        <v>115</v>
      </c>
      <c r="AL58" s="445">
        <v>10</v>
      </c>
      <c r="AM58" s="445">
        <v>10</v>
      </c>
      <c r="AN58" s="445">
        <v>10</v>
      </c>
      <c r="AO58" s="445">
        <v>10</v>
      </c>
      <c r="AP58" s="445">
        <v>10</v>
      </c>
      <c r="AQ58" s="1072">
        <v>23</v>
      </c>
    </row>
  </sheetData>
  <sheetProtection formatColumns="0" formatRows="0" insertRows="0" deleteColumns="0" deleteRows="0" sort="0" autoFilter="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500-000000000000}"/>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500-000001000000}">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xr:uid="{00000000-0002-0000-1500-000002000000}"/>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500-000003000000}">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xr:uid="{00000000-0002-0000-1500-000004000000}">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500-000005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xr:uid="{00000000-0002-0000-1500-000006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xr:uid="{00000000-0002-0000-15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42E797-17CC-701F-40B4-AFE49B0C07DD}">
  <sheetPr>
    <tabColor theme="6" tint="0.39997558519241921"/>
  </sheetPr>
  <dimension ref="A1:AQ58"/>
  <sheetViews>
    <sheetView showGridLines="0" topLeftCell="P23" zoomScale="90" workbookViewId="0"/>
  </sheetViews>
  <sheetFormatPr defaultColWidth="10.59765625" defaultRowHeight="14.25" customHeight="1"/>
  <cols>
    <col min="1" max="1" width="10.59765625" style="2016" hidden="1"/>
    <col min="2" max="2" width="11" style="2016" hidden="1" customWidth="1"/>
    <col min="3" max="3" width="10.59765625" style="2016" hidden="1"/>
    <col min="4" max="4" width="11.796875" style="2016" hidden="1" customWidth="1"/>
    <col min="5" max="5" width="10" style="2016" hidden="1" customWidth="1"/>
    <col min="6" max="6" width="8.69921875" style="2016" hidden="1" customWidth="1"/>
    <col min="7" max="7" width="7.59765625" style="2016" hidden="1" customWidth="1"/>
    <col min="8" max="8" width="11.3984375" style="2016" hidden="1" customWidth="1"/>
    <col min="9" max="9" width="14.09765625" style="2016" hidden="1" customWidth="1"/>
    <col min="10" max="10" width="9.796875" style="2016" hidden="1" customWidth="1"/>
    <col min="11" max="11" width="14.69921875" style="2016" hidden="1" customWidth="1"/>
    <col min="12" max="12" width="19.09765625" style="2216" hidden="1" customWidth="1"/>
    <col min="13" max="14" width="12.296875" style="2006" hidden="1" customWidth="1"/>
    <col min="15" max="15" width="23.3984375" style="2006" hidden="1" customWidth="1"/>
    <col min="16" max="16" width="3" style="2217" customWidth="1"/>
    <col min="17" max="18" width="3" style="2215" customWidth="1"/>
    <col min="19" max="19" width="12" style="2218" customWidth="1"/>
    <col min="20" max="20" width="35" style="2004" customWidth="1"/>
    <col min="21" max="21" width="9.765625E-2" style="2004" customWidth="1"/>
    <col min="22" max="24" width="24.69921875" style="2004" hidden="1" customWidth="1"/>
    <col min="25" max="25" width="11.69921875" style="2004" hidden="1" customWidth="1"/>
    <col min="26" max="26" width="3.69921875" style="2004" hidden="1" customWidth="1"/>
    <col min="27" max="27" width="11.69921875" style="2004" hidden="1" customWidth="1"/>
    <col min="28" max="28" width="8.59765625" style="2004" hidden="1" customWidth="1"/>
    <col min="29" max="29" width="24.69921875" style="2004" customWidth="1"/>
    <col min="30" max="31" width="24" style="2004" customWidth="1"/>
    <col min="32" max="32" width="11" style="2004" customWidth="1"/>
    <col min="33" max="33" width="3.69921875" style="2004" customWidth="1"/>
    <col min="34" max="34" width="11" style="2004" customWidth="1"/>
    <col min="35" max="35" width="8.59765625" style="2004" hidden="1" customWidth="1"/>
    <col min="36" max="36" width="4" style="2004" customWidth="1"/>
    <col min="37" max="37" width="115" style="2004" customWidth="1"/>
    <col min="38" max="42" width="10" style="2017" customWidth="1"/>
    <col min="43" max="43" width="10.59765625" style="2004" hidden="1"/>
  </cols>
  <sheetData>
    <row r="1" spans="1:43" ht="22.5" hidden="1" customHeight="1">
      <c r="X1" s="262"/>
      <c r="Y1" s="262"/>
      <c r="AE1" s="262"/>
      <c r="AF1" s="262"/>
      <c r="AQ1" s="1072" t="s">
        <v>14</v>
      </c>
    </row>
    <row r="2" spans="1:43" ht="23.25" hidden="1" customHeight="1">
      <c r="A2" s="1280"/>
      <c r="B2" s="1280"/>
      <c r="C2" s="1280"/>
      <c r="D2" s="1280"/>
      <c r="E2" s="3199">
        <v>1</v>
      </c>
      <c r="F2" s="1280"/>
      <c r="G2" s="1280"/>
      <c r="H2" s="1280"/>
      <c r="I2" s="1280"/>
      <c r="J2" s="1280"/>
      <c r="K2" s="1280"/>
      <c r="L2" s="1281"/>
      <c r="M2" s="1282"/>
      <c r="N2" s="1282"/>
      <c r="O2" s="1282"/>
      <c r="P2" s="295"/>
      <c r="Q2" s="294"/>
      <c r="R2" s="289"/>
      <c r="S2" s="1374" t="e">
        <f>INDEX(PT_DIFFERENTIATION_NUM_NTAR,MATCH(A2,PT_DIFFERENTIATION_NTAR_ID,0))</f>
        <v>#N/A</v>
      </c>
      <c r="T2" s="233" t="s">
        <v>137</v>
      </c>
      <c r="U2" s="235"/>
      <c r="V2" s="3185"/>
      <c r="W2" s="3186"/>
      <c r="X2" s="3186"/>
      <c r="Y2" s="3186"/>
      <c r="Z2" s="3186"/>
      <c r="AA2" s="3186"/>
      <c r="AB2" s="3187"/>
      <c r="AC2" s="3185" t="e">
        <f>INDEX(PT_DIFFERENTIATION_NTAR,MATCH(A2,PT_DIFFERENTIATION_NTAR_ID,0))</f>
        <v>#N/A</v>
      </c>
      <c r="AD2" s="3186"/>
      <c r="AE2" s="3186"/>
      <c r="AF2" s="3186"/>
      <c r="AG2" s="3186"/>
      <c r="AH2" s="3186"/>
      <c r="AI2" s="3186"/>
      <c r="AJ2" s="3187"/>
      <c r="AK2"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4"/>
      <c r="AN2" s="434" t="str">
        <f t="shared" ref="AN2:AN13" si="0">IF(T2="","",T2)</f>
        <v>Наименование тарифа</v>
      </c>
      <c r="AO2" s="434"/>
      <c r="AP2" s="434"/>
      <c r="AQ2" s="1072">
        <v>0</v>
      </c>
    </row>
    <row r="3" spans="1:43" ht="23.25" hidden="1" customHeight="1">
      <c r="A3" s="1280"/>
      <c r="B3" s="1280"/>
      <c r="C3" s="1280"/>
      <c r="D3" s="1280"/>
      <c r="E3" s="3200"/>
      <c r="F3" s="3199">
        <v>1</v>
      </c>
      <c r="G3" s="1280"/>
      <c r="H3" s="1280"/>
      <c r="I3" s="1280"/>
      <c r="J3" s="1280"/>
      <c r="K3" s="1280"/>
      <c r="L3" s="1281"/>
      <c r="M3" s="1282"/>
      <c r="N3" s="1282"/>
      <c r="O3" s="1282"/>
      <c r="P3" s="1370"/>
      <c r="Q3" s="286"/>
      <c r="R3" s="287"/>
      <c r="S3" s="1374" t="e">
        <f>INDEX(PT_DIFFERENTIATION_NUM_TER,MATCH(B3,PT_DIFFERENTIATION_TER_ID,0))</f>
        <v>#N/A</v>
      </c>
      <c r="T3" s="243" t="s">
        <v>432</v>
      </c>
      <c r="U3" s="235"/>
      <c r="V3" s="3185"/>
      <c r="W3" s="3186"/>
      <c r="X3" s="3186"/>
      <c r="Y3" s="3186"/>
      <c r="Z3" s="3186"/>
      <c r="AA3" s="3186"/>
      <c r="AB3" s="3187"/>
      <c r="AC3" s="3185" t="e">
        <f>INDEX(PT_DIFFERENTIATION_TER,MATCH(B3,PT_DIFFERENTIATION_TER_ID,0))</f>
        <v>#N/A</v>
      </c>
      <c r="AD3" s="3186"/>
      <c r="AE3" s="3186"/>
      <c r="AF3" s="3186"/>
      <c r="AG3" s="3186"/>
      <c r="AH3" s="3186"/>
      <c r="AI3" s="3186"/>
      <c r="AJ3" s="3187"/>
      <c r="AK3" s="1175" t="s">
        <v>433</v>
      </c>
      <c r="AM3" s="434"/>
      <c r="AN3" s="434" t="str">
        <f t="shared" si="0"/>
        <v>Территория действия тарифа</v>
      </c>
      <c r="AO3" s="434"/>
      <c r="AP3" s="434"/>
      <c r="AQ3" s="1072">
        <v>0</v>
      </c>
    </row>
    <row r="4" spans="1:43" ht="23.25" hidden="1" customHeight="1">
      <c r="A4" s="1280"/>
      <c r="B4" s="1280"/>
      <c r="C4" s="1280"/>
      <c r="D4" s="1280"/>
      <c r="E4" s="3200"/>
      <c r="F4" s="3200"/>
      <c r="G4" s="3199">
        <v>1</v>
      </c>
      <c r="H4" s="1280"/>
      <c r="I4" s="1280"/>
      <c r="J4" s="1280"/>
      <c r="K4" s="1280"/>
      <c r="L4" s="1281"/>
      <c r="M4" s="1282"/>
      <c r="N4" s="1282"/>
      <c r="O4" s="1282"/>
      <c r="P4" s="288"/>
      <c r="Q4" s="286"/>
      <c r="R4" s="287"/>
      <c r="S4" s="1374" t="e">
        <f>INDEX(PT_DIFFERENTIATION_NUM_CS,MATCH(C4,PT_DIFFERENTIATION_CS_ID,0))</f>
        <v>#N/A</v>
      </c>
      <c r="T4" s="244" t="s">
        <v>514</v>
      </c>
      <c r="U4" s="235"/>
      <c r="V4" s="3185"/>
      <c r="W4" s="3186"/>
      <c r="X4" s="3186"/>
      <c r="Y4" s="3186"/>
      <c r="Z4" s="3186"/>
      <c r="AA4" s="3186"/>
      <c r="AB4" s="3187"/>
      <c r="AC4" s="3185" t="e">
        <f>INDEX(PT_DIFFERENTIATION_CS,MATCH(C4,PT_DIFFERENTIATION_CS_ID,0))</f>
        <v>#N/A</v>
      </c>
      <c r="AD4" s="3186"/>
      <c r="AE4" s="3186"/>
      <c r="AF4" s="3186"/>
      <c r="AG4" s="3186"/>
      <c r="AH4" s="3186"/>
      <c r="AI4" s="3186"/>
      <c r="AJ4" s="3187"/>
      <c r="AK4" s="1175" t="s">
        <v>515</v>
      </c>
      <c r="AM4" s="434"/>
      <c r="AN4" s="434" t="str">
        <f t="shared" si="0"/>
        <v>Наименование централизованной системы холодного водоснабжения</v>
      </c>
      <c r="AO4" s="434"/>
      <c r="AP4" s="434"/>
      <c r="AQ4" s="1072">
        <v>0</v>
      </c>
    </row>
    <row r="5" spans="1:43" ht="23.25" hidden="1" customHeight="1">
      <c r="A5" s="1280"/>
      <c r="B5" s="1280"/>
      <c r="C5" s="1280"/>
      <c r="D5" s="1280"/>
      <c r="E5" s="3200"/>
      <c r="F5" s="3200"/>
      <c r="G5" s="3200"/>
      <c r="H5" s="3200"/>
      <c r="I5" s="3197" t="e">
        <f>S4&amp;".1"</f>
        <v>#N/A</v>
      </c>
      <c r="J5" s="1280"/>
      <c r="K5" s="1280"/>
      <c r="L5" s="1281"/>
      <c r="P5" s="3198">
        <v>1</v>
      </c>
      <c r="Q5" s="1367"/>
      <c r="R5" s="290"/>
      <c r="S5" s="1374" t="e">
        <f>$I5</f>
        <v>#N/A</v>
      </c>
      <c r="T5" s="220" t="s">
        <v>516</v>
      </c>
      <c r="U5" s="235"/>
      <c r="V5" s="3266"/>
      <c r="W5" s="3267"/>
      <c r="X5" s="3267"/>
      <c r="Y5" s="3267"/>
      <c r="Z5" s="3267"/>
      <c r="AA5" s="3267"/>
      <c r="AB5" s="3268"/>
      <c r="AC5" s="3269"/>
      <c r="AD5" s="3270"/>
      <c r="AE5" s="3270"/>
      <c r="AF5" s="3270"/>
      <c r="AG5" s="3270"/>
      <c r="AH5" s="3270"/>
      <c r="AI5" s="3270"/>
      <c r="AJ5" s="3271"/>
      <c r="AK5" s="1175" t="s">
        <v>517</v>
      </c>
      <c r="AM5" s="434"/>
      <c r="AN5" s="434" t="str">
        <f t="shared" si="0"/>
        <v>Наименование признака дифференциации</v>
      </c>
      <c r="AO5" s="434"/>
      <c r="AP5" s="434"/>
      <c r="AQ5" s="1072">
        <v>0</v>
      </c>
    </row>
    <row r="6" spans="1:43" ht="23.25" hidden="1" customHeight="1">
      <c r="A6" s="1280"/>
      <c r="B6" s="1280"/>
      <c r="C6" s="1280"/>
      <c r="D6" s="1280"/>
      <c r="E6" s="3200"/>
      <c r="F6" s="3200"/>
      <c r="G6" s="3200"/>
      <c r="H6" s="3200"/>
      <c r="I6" s="3220"/>
      <c r="J6" s="3197" t="e">
        <f>I5&amp;".1"</f>
        <v>#N/A</v>
      </c>
      <c r="K6" s="1280"/>
      <c r="L6" s="1281" t="s">
        <v>441</v>
      </c>
      <c r="P6" s="3198"/>
      <c r="Q6" s="3198">
        <v>1</v>
      </c>
      <c r="R6" s="291"/>
      <c r="S6" s="1374" t="e">
        <f>$J6</f>
        <v>#N/A</v>
      </c>
      <c r="T6" s="221" t="s">
        <v>442</v>
      </c>
      <c r="U6" s="235"/>
      <c r="V6" s="3188"/>
      <c r="W6" s="3189"/>
      <c r="X6" s="3189"/>
      <c r="Y6" s="3189"/>
      <c r="Z6" s="3189"/>
      <c r="AA6" s="3189"/>
      <c r="AB6" s="3190"/>
      <c r="AC6" s="3188"/>
      <c r="AD6" s="3189"/>
      <c r="AE6" s="3189"/>
      <c r="AF6" s="3189"/>
      <c r="AG6" s="3189"/>
      <c r="AH6" s="3189"/>
      <c r="AI6" s="3189"/>
      <c r="AJ6" s="3190"/>
      <c r="AK6" s="1224" t="s">
        <v>518</v>
      </c>
      <c r="AM6" s="434"/>
      <c r="AN6" s="434" t="str">
        <f t="shared" si="0"/>
        <v>Группа потребителей</v>
      </c>
      <c r="AO6" s="434"/>
      <c r="AP6" s="434"/>
      <c r="AQ6" s="1072">
        <v>0</v>
      </c>
    </row>
    <row r="7" spans="1:43" ht="23.25" hidden="1" customHeight="1">
      <c r="A7" s="1280"/>
      <c r="B7" s="1280"/>
      <c r="C7" s="1280"/>
      <c r="D7" s="1280"/>
      <c r="E7" s="3200"/>
      <c r="F7" s="3200"/>
      <c r="G7" s="3200"/>
      <c r="H7" s="3200"/>
      <c r="I7" s="3220"/>
      <c r="J7" s="3220"/>
      <c r="K7" s="3197" t="e">
        <f>J6&amp;".1"</f>
        <v>#N/A</v>
      </c>
      <c r="L7" s="1281"/>
      <c r="P7" s="3198"/>
      <c r="Q7" s="3198"/>
      <c r="R7" s="291">
        <v>1</v>
      </c>
      <c r="S7" s="1374" t="e">
        <f>$K7</f>
        <v>#N/A</v>
      </c>
      <c r="T7" s="1354"/>
      <c r="U7" s="235"/>
      <c r="V7" s="685"/>
      <c r="W7" s="685"/>
      <c r="X7" s="1174"/>
      <c r="Y7" s="3202"/>
      <c r="Z7" s="3048" t="s">
        <v>67</v>
      </c>
      <c r="AA7" s="3202"/>
      <c r="AB7" s="3048" t="s">
        <v>67</v>
      </c>
      <c r="AC7" s="685"/>
      <c r="AD7" s="685"/>
      <c r="AE7" s="1174"/>
      <c r="AF7" s="3202"/>
      <c r="AG7" s="3048" t="s">
        <v>67</v>
      </c>
      <c r="AH7" s="3221"/>
      <c r="AI7" s="3048" t="s">
        <v>67</v>
      </c>
      <c r="AJ7" s="1355"/>
      <c r="AK7" s="3265"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5" t="e">
        <f ca="1">STRCHECKDATE(V8:AJ8)</f>
        <v>#NAME?</v>
      </c>
      <c r="AM7" s="434"/>
      <c r="AN7" s="434" t="str">
        <f t="shared" si="0"/>
        <v/>
      </c>
      <c r="AO7" s="434"/>
      <c r="AP7" s="434"/>
      <c r="AQ7" s="1072">
        <v>0</v>
      </c>
    </row>
    <row r="8" spans="1:43" ht="14.25" hidden="1" customHeight="1">
      <c r="A8" s="1280"/>
      <c r="B8" s="1280"/>
      <c r="C8" s="1280"/>
      <c r="D8" s="1280"/>
      <c r="E8" s="3200"/>
      <c r="F8" s="3200"/>
      <c r="G8" s="3200"/>
      <c r="H8" s="3200"/>
      <c r="I8" s="3220"/>
      <c r="J8" s="3220"/>
      <c r="K8" s="3197"/>
      <c r="L8" s="1281"/>
      <c r="P8" s="3198"/>
      <c r="Q8" s="3198"/>
      <c r="R8" s="291"/>
      <c r="S8" s="1373"/>
      <c r="T8" s="235"/>
      <c r="U8" s="235"/>
      <c r="V8" s="260"/>
      <c r="W8" s="260"/>
      <c r="X8" s="263" t="str">
        <f>Y7&amp;"-"&amp;AA7</f>
        <v>-</v>
      </c>
      <c r="Y8" s="3203"/>
      <c r="Z8" s="3048"/>
      <c r="AA8" s="3203"/>
      <c r="AB8" s="3048"/>
      <c r="AC8" s="260"/>
      <c r="AD8" s="260"/>
      <c r="AE8" s="263" t="str">
        <f>AF7&amp;"-"&amp;AH7</f>
        <v>-</v>
      </c>
      <c r="AF8" s="3203"/>
      <c r="AG8" s="3048"/>
      <c r="AH8" s="3222"/>
      <c r="AI8" s="3048"/>
      <c r="AJ8" s="1356"/>
      <c r="AK8" s="3265"/>
      <c r="AM8" s="434"/>
      <c r="AN8" s="434" t="str">
        <f t="shared" si="0"/>
        <v/>
      </c>
      <c r="AO8" s="434"/>
      <c r="AP8" s="434"/>
      <c r="AQ8" s="1072">
        <v>0</v>
      </c>
    </row>
    <row r="9" spans="1:43" ht="21" hidden="1" customHeight="1">
      <c r="A9" s="1280"/>
      <c r="B9" s="1280"/>
      <c r="C9" s="1280"/>
      <c r="D9" s="1280"/>
      <c r="E9" s="3200"/>
      <c r="F9" s="3200"/>
      <c r="G9" s="3200"/>
      <c r="H9" s="3200"/>
      <c r="I9" s="3220"/>
      <c r="J9" s="3197"/>
      <c r="K9" s="1280"/>
      <c r="L9" s="1281"/>
      <c r="P9" s="3198"/>
      <c r="Q9" s="3198"/>
      <c r="R9" s="290"/>
      <c r="S9" s="1195"/>
      <c r="T9" s="222" t="s">
        <v>519</v>
      </c>
      <c r="U9" s="301"/>
      <c r="V9" s="301"/>
      <c r="W9" s="301"/>
      <c r="X9" s="301"/>
      <c r="Y9" s="301"/>
      <c r="Z9" s="301"/>
      <c r="AA9" s="301"/>
      <c r="AB9" s="301"/>
      <c r="AC9" s="301"/>
      <c r="AD9" s="301"/>
      <c r="AE9" s="301"/>
      <c r="AF9" s="301"/>
      <c r="AG9" s="301"/>
      <c r="AH9" s="301"/>
      <c r="AI9" s="301"/>
      <c r="AJ9" s="301"/>
      <c r="AK9" s="1175" t="s">
        <v>520</v>
      </c>
      <c r="AM9" s="434"/>
      <c r="AN9" s="434" t="str">
        <f t="shared" si="0"/>
        <v>Добавить значение признака дифференциации</v>
      </c>
      <c r="AO9" s="434"/>
      <c r="AP9" s="434"/>
      <c r="AQ9" s="1072">
        <v>0</v>
      </c>
    </row>
    <row r="10" spans="1:43" ht="21" hidden="1" customHeight="1">
      <c r="A10" s="1280"/>
      <c r="B10" s="1280"/>
      <c r="C10" s="1280"/>
      <c r="D10" s="1280"/>
      <c r="E10" s="3200"/>
      <c r="F10" s="3200"/>
      <c r="G10" s="3200"/>
      <c r="H10" s="3200"/>
      <c r="I10" s="3197"/>
      <c r="J10" s="1280"/>
      <c r="K10" s="1280"/>
      <c r="L10" s="1281"/>
      <c r="P10" s="3198"/>
      <c r="Q10" s="1367"/>
      <c r="R10" s="290"/>
      <c r="S10" s="1195"/>
      <c r="T10" s="299" t="s">
        <v>447</v>
      </c>
      <c r="U10" s="301"/>
      <c r="V10" s="301"/>
      <c r="W10" s="301"/>
      <c r="X10" s="301"/>
      <c r="Y10" s="301"/>
      <c r="Z10" s="301"/>
      <c r="AA10" s="301"/>
      <c r="AB10" s="300"/>
      <c r="AC10" s="301"/>
      <c r="AD10" s="301"/>
      <c r="AE10" s="301"/>
      <c r="AF10" s="301"/>
      <c r="AG10" s="301"/>
      <c r="AH10" s="301"/>
      <c r="AI10" s="300"/>
      <c r="AJ10" s="301"/>
      <c r="AK10" s="1357"/>
      <c r="AM10" s="434"/>
      <c r="AN10" s="434" t="str">
        <f t="shared" si="0"/>
        <v>Добавить группу потребителей</v>
      </c>
      <c r="AO10" s="434"/>
      <c r="AP10" s="434"/>
      <c r="AQ10" s="1072">
        <v>0</v>
      </c>
    </row>
    <row r="11" spans="1:43" ht="21" hidden="1" customHeight="1">
      <c r="A11" s="1280"/>
      <c r="B11" s="1280"/>
      <c r="C11" s="1280"/>
      <c r="D11" s="1280"/>
      <c r="E11" s="3200"/>
      <c r="F11" s="3200"/>
      <c r="G11" s="3200"/>
      <c r="H11" s="3199"/>
      <c r="I11" s="1280"/>
      <c r="J11" s="1280"/>
      <c r="K11" s="1280"/>
      <c r="L11" s="1281"/>
      <c r="M11" s="1282"/>
      <c r="N11" s="1282"/>
      <c r="O11" s="471"/>
      <c r="P11" s="294"/>
      <c r="Q11" s="309"/>
      <c r="R11" s="289"/>
      <c r="S11" s="1195"/>
      <c r="T11" s="306" t="s">
        <v>521</v>
      </c>
      <c r="U11" s="301"/>
      <c r="V11" s="301"/>
      <c r="W11" s="301"/>
      <c r="X11" s="301"/>
      <c r="Y11" s="301"/>
      <c r="Z11" s="301"/>
      <c r="AA11" s="301"/>
      <c r="AB11" s="300"/>
      <c r="AC11" s="301"/>
      <c r="AD11" s="301"/>
      <c r="AE11" s="301"/>
      <c r="AF11" s="301"/>
      <c r="AG11" s="301"/>
      <c r="AH11" s="301"/>
      <c r="AI11" s="300"/>
      <c r="AJ11" s="301"/>
      <c r="AK11" s="238"/>
      <c r="AM11" s="434"/>
      <c r="AN11" s="434" t="str">
        <f t="shared" si="0"/>
        <v>Добавить наименование признака дифференциации</v>
      </c>
      <c r="AO11" s="434"/>
      <c r="AP11" s="434"/>
      <c r="AQ11" s="1072">
        <v>0</v>
      </c>
    </row>
    <row r="12" spans="1:43" s="2017" customFormat="1" ht="14.25" hidden="1" customHeight="1">
      <c r="A12" s="1260"/>
      <c r="B12" s="1260"/>
      <c r="C12" s="1231"/>
      <c r="D12" s="1231"/>
      <c r="E12" s="3200"/>
      <c r="F12" s="3199"/>
      <c r="G12" s="1231"/>
      <c r="H12" s="1231"/>
      <c r="I12" s="1231"/>
      <c r="J12" s="1231"/>
      <c r="K12" s="1231"/>
      <c r="L12" s="1375"/>
      <c r="M12" s="1238"/>
      <c r="N12" s="1238"/>
      <c r="P12" s="1233"/>
      <c r="Q12" s="1234"/>
      <c r="R12" s="1233"/>
      <c r="S12" s="1239"/>
      <c r="T12" s="1242" t="s">
        <v>181</v>
      </c>
      <c r="U12" s="1241"/>
      <c r="V12" s="1241"/>
      <c r="W12" s="1241"/>
      <c r="X12" s="1241"/>
      <c r="Y12" s="1241"/>
      <c r="Z12" s="1241"/>
      <c r="AA12" s="1241"/>
      <c r="AB12" s="1241"/>
      <c r="AC12" s="1241"/>
      <c r="AD12" s="1241"/>
      <c r="AE12" s="1241"/>
      <c r="AF12" s="1241"/>
      <c r="AG12" s="1241"/>
      <c r="AH12" s="1241"/>
      <c r="AI12" s="1241"/>
      <c r="AJ12" s="1241"/>
      <c r="AK12" s="1241"/>
      <c r="AM12" s="717"/>
      <c r="AN12" s="717" t="str">
        <f t="shared" si="0"/>
        <v>Добавить централизованную систему для дифференциации</v>
      </c>
      <c r="AO12" s="717"/>
      <c r="AP12" s="717"/>
      <c r="AQ12" s="452">
        <v>0</v>
      </c>
    </row>
    <row r="13" spans="1:43" s="2017" customFormat="1" ht="14.25" hidden="1" customHeight="1">
      <c r="A13" s="1260"/>
      <c r="B13" s="1260"/>
      <c r="C13" s="1260"/>
      <c r="D13" s="1260"/>
      <c r="E13" s="3199"/>
      <c r="F13" s="1260"/>
      <c r="G13" s="1260"/>
      <c r="H13" s="1260"/>
      <c r="I13" s="1260"/>
      <c r="J13" s="1260"/>
      <c r="K13" s="1260"/>
      <c r="L13" s="1263"/>
      <c r="M13" s="1238"/>
      <c r="N13" s="1238"/>
      <c r="O13" s="452"/>
      <c r="P13" s="314"/>
      <c r="Q13" s="1261"/>
      <c r="R13" s="314"/>
      <c r="S13" s="1239"/>
      <c r="T13" s="1242" t="s">
        <v>188</v>
      </c>
      <c r="U13" s="1241"/>
      <c r="V13" s="1241"/>
      <c r="W13" s="1241"/>
      <c r="X13" s="1241"/>
      <c r="Y13" s="1241"/>
      <c r="Z13" s="1241"/>
      <c r="AA13" s="1241"/>
      <c r="AB13" s="1241"/>
      <c r="AC13" s="1241"/>
      <c r="AD13" s="1241"/>
      <c r="AE13" s="1241"/>
      <c r="AF13" s="1241"/>
      <c r="AG13" s="1241"/>
      <c r="AH13" s="1241"/>
      <c r="AI13" s="1241"/>
      <c r="AJ13" s="1241"/>
      <c r="AK13" s="1241"/>
      <c r="AM13" s="434"/>
      <c r="AN13" s="434" t="str">
        <f t="shared" si="0"/>
        <v>Добавить территорию для дифференциации</v>
      </c>
      <c r="AO13" s="434"/>
      <c r="AP13" s="434"/>
      <c r="AQ13" s="445">
        <v>0</v>
      </c>
    </row>
    <row r="14" spans="1:43" ht="14.25" hidden="1" customHeight="1">
      <c r="AB14" s="262"/>
      <c r="AI14" s="262"/>
      <c r="AQ14" s="1072">
        <v>0</v>
      </c>
    </row>
    <row r="15" spans="1:43" ht="14.25" hidden="1" customHeight="1">
      <c r="AC15" s="1277"/>
      <c r="AD15" s="1277"/>
      <c r="AE15" s="1278"/>
      <c r="AF15" s="3204"/>
      <c r="AG15" s="3205" t="s">
        <v>67</v>
      </c>
      <c r="AH15" s="3204"/>
      <c r="AI15" s="3205" t="s">
        <v>67</v>
      </c>
      <c r="AQ15" s="1072">
        <v>0</v>
      </c>
    </row>
    <row r="16" spans="1:43" ht="14.25" hidden="1" customHeight="1">
      <c r="AC16" s="1277"/>
      <c r="AD16" s="1277"/>
      <c r="AE16" s="263" t="str">
        <f>AF15&amp;"-"&amp;AH15</f>
        <v>-</v>
      </c>
      <c r="AF16" s="3205"/>
      <c r="AG16" s="3205"/>
      <c r="AH16" s="3205"/>
      <c r="AI16" s="3205"/>
      <c r="AQ16" s="1072">
        <v>0</v>
      </c>
    </row>
    <row r="17" spans="1:43" ht="14.25" hidden="1" customHeight="1">
      <c r="AI17" s="262"/>
      <c r="AQ17" s="1072">
        <v>0</v>
      </c>
    </row>
    <row r="18" spans="1:43" s="2016" customFormat="1" ht="22.5" hidden="1" customHeight="1">
      <c r="L18" s="1364"/>
      <c r="M18" s="1279"/>
      <c r="N18" s="1279"/>
      <c r="O18" s="1284" t="s">
        <v>449</v>
      </c>
      <c r="P18" s="1279"/>
      <c r="Q18" s="1288"/>
      <c r="R18" s="1288"/>
      <c r="S18" s="663"/>
      <c r="Y18" s="1284"/>
      <c r="AA18" s="1284"/>
      <c r="AB18" s="1283"/>
      <c r="AF18" s="1284"/>
      <c r="AH18" s="1284"/>
      <c r="AI18" s="1283"/>
      <c r="AL18" s="445"/>
      <c r="AM18" s="445"/>
      <c r="AN18" s="445"/>
      <c r="AO18" s="445"/>
      <c r="AP18" s="445"/>
      <c r="AQ18" s="1077">
        <v>0</v>
      </c>
    </row>
    <row r="19" spans="1:43" s="2016" customFormat="1" ht="14.25" hidden="1" customHeight="1">
      <c r="L19" s="1364"/>
      <c r="M19" s="1279"/>
      <c r="N19" s="1279"/>
      <c r="O19" s="1279"/>
      <c r="P19" s="1279"/>
      <c r="Q19" s="1288"/>
      <c r="R19" s="1288"/>
      <c r="S19" s="663"/>
      <c r="AB19" s="1283"/>
      <c r="AI19" s="1283"/>
      <c r="AL19" s="445"/>
      <c r="AM19" s="445"/>
      <c r="AN19" s="445"/>
      <c r="AO19" s="445"/>
      <c r="AP19" s="445"/>
      <c r="AQ19" s="1077">
        <v>0</v>
      </c>
    </row>
    <row r="20" spans="1:43" s="2016" customFormat="1" ht="12" hidden="1" customHeight="1">
      <c r="L20" s="1364"/>
      <c r="M20" s="1279"/>
      <c r="N20" s="1279"/>
      <c r="O20" s="1281" t="s">
        <v>450</v>
      </c>
      <c r="P20" s="1279"/>
      <c r="Q20" s="1359"/>
      <c r="R20" s="1359"/>
      <c r="S20" s="663"/>
      <c r="T20" s="1077" t="s">
        <v>451</v>
      </c>
      <c r="Z20" s="121" t="s">
        <v>452</v>
      </c>
      <c r="AB20" s="121" t="s">
        <v>453</v>
      </c>
      <c r="AC20" s="1077" t="s">
        <v>451</v>
      </c>
      <c r="AG20" s="121" t="s">
        <v>454</v>
      </c>
      <c r="AI20" s="121" t="s">
        <v>453</v>
      </c>
      <c r="AQ20" s="1077">
        <v>0</v>
      </c>
    </row>
    <row r="21" spans="1:43" ht="14.25" hidden="1" customHeight="1">
      <c r="O21" s="1281"/>
      <c r="AQ21" s="1072">
        <v>0</v>
      </c>
    </row>
    <row r="22" spans="1:43" ht="14.25" hidden="1" customHeight="1">
      <c r="O22" s="1281"/>
      <c r="AQ22" s="1072">
        <v>0</v>
      </c>
    </row>
    <row r="23" spans="1:43" ht="14.65" customHeight="1">
      <c r="Q23" s="310"/>
      <c r="R23" s="310"/>
      <c r="S23" s="1192"/>
      <c r="T23" s="297"/>
      <c r="U23" s="297"/>
      <c r="V23" s="443"/>
      <c r="W23" s="443"/>
      <c r="X23" s="443"/>
      <c r="Y23" s="443"/>
      <c r="Z23" s="443"/>
      <c r="AA23" s="443"/>
      <c r="AB23" s="443"/>
      <c r="AC23" s="443"/>
      <c r="AD23" s="443"/>
      <c r="AE23" s="443"/>
      <c r="AF23" s="443"/>
      <c r="AG23" s="443"/>
      <c r="AH23" s="443"/>
      <c r="AI23" s="443"/>
      <c r="AQ23" s="1072">
        <v>14</v>
      </c>
    </row>
    <row r="24" spans="1:43" ht="14.65" customHeight="1">
      <c r="Q24" s="310"/>
      <c r="R24" s="310"/>
      <c r="S24" s="3183"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3183"/>
      <c r="U24" s="3183"/>
      <c r="V24" s="3183"/>
      <c r="W24" s="3183"/>
      <c r="X24" s="3183"/>
      <c r="Y24" s="3183"/>
      <c r="Z24" s="3183"/>
      <c r="AA24" s="3183"/>
      <c r="AB24" s="3183"/>
      <c r="AC24" s="3183"/>
      <c r="AD24" s="3183"/>
      <c r="AE24" s="3183"/>
      <c r="AF24" s="3183"/>
      <c r="AG24" s="3183"/>
      <c r="AH24" s="3183"/>
      <c r="AI24" s="1160"/>
      <c r="AQ24" s="1072">
        <v>14</v>
      </c>
    </row>
    <row r="25" spans="1:43" ht="14.65" customHeight="1">
      <c r="Q25" s="310"/>
      <c r="R25" s="310"/>
      <c r="S25" s="3131" t="str">
        <f>IF(org=0,"Не определено",org)</f>
        <v>ООО "РСО"</v>
      </c>
      <c r="T25" s="3131"/>
      <c r="U25" s="3131"/>
      <c r="V25" s="3131"/>
      <c r="W25" s="3131"/>
      <c r="X25" s="3131"/>
      <c r="Y25" s="3131"/>
      <c r="Z25" s="3131"/>
      <c r="AA25" s="3131"/>
      <c r="AB25" s="3131"/>
      <c r="AC25" s="3131"/>
      <c r="AD25" s="3131"/>
      <c r="AE25" s="3131"/>
      <c r="AF25" s="3131"/>
      <c r="AG25" s="3131"/>
      <c r="AH25" s="3131"/>
      <c r="AI25" s="1160"/>
      <c r="AQ25" s="1072">
        <v>14</v>
      </c>
    </row>
    <row r="26" spans="1:43" ht="14.25" hidden="1" customHeight="1">
      <c r="Q26" s="310"/>
      <c r="R26" s="310"/>
      <c r="S26" s="1192"/>
      <c r="T26" s="297"/>
      <c r="U26" s="297"/>
      <c r="V26" s="257"/>
      <c r="W26" s="257"/>
      <c r="X26" s="257"/>
      <c r="Y26" s="257"/>
      <c r="Z26" s="257"/>
      <c r="AA26" s="257"/>
      <c r="AB26" s="257"/>
      <c r="AC26" s="257"/>
      <c r="AD26" s="257"/>
      <c r="AE26" s="257"/>
      <c r="AF26" s="257"/>
      <c r="AG26" s="257"/>
      <c r="AH26" s="257"/>
      <c r="AI26" s="257"/>
      <c r="AJ26" s="443"/>
      <c r="AQ26" s="1072">
        <v>0</v>
      </c>
    </row>
    <row r="27" spans="1:43" s="2028" customFormat="1" ht="25.5" hidden="1" customHeight="1">
      <c r="A27" s="1285"/>
      <c r="B27" s="1285"/>
      <c r="C27" s="1285"/>
      <c r="D27" s="1285"/>
      <c r="E27" s="1285"/>
      <c r="F27" s="1285"/>
      <c r="G27" s="1285"/>
      <c r="H27" s="1285"/>
      <c r="I27" s="1285"/>
      <c r="J27" s="1285"/>
      <c r="K27" s="1285"/>
      <c r="L27" s="1286"/>
      <c r="M27" s="1285"/>
      <c r="N27" s="1285"/>
      <c r="O27" s="1285"/>
      <c r="S27" s="3191" t="s">
        <v>42</v>
      </c>
      <c r="T27" s="3191"/>
      <c r="U27" s="1289"/>
      <c r="V27" s="3192" t="str">
        <f>IF(TITLE_NAME_OR_PR_CHANGE="",IF(TITLE_NAME_OR_PR="","",TITLE_NAME_OR_PR),TITLE_NAME_OR_PR_CHANGE)</f>
        <v/>
      </c>
      <c r="W27" s="3192"/>
      <c r="X27" s="3192"/>
      <c r="Y27" s="3192"/>
      <c r="Z27" s="3192"/>
      <c r="AA27" s="3192"/>
      <c r="AB27" s="261"/>
      <c r="AC27" s="3192" t="str">
        <f>IF(TITLE_NAME_OR_PR_CHANGE="",IF(TITLE_NAME_OR_PR="","",TITLE_NAME_OR_PR),TITLE_NAME_OR_PR_CHANGE)</f>
        <v/>
      </c>
      <c r="AD27" s="3192"/>
      <c r="AE27" s="3192"/>
      <c r="AF27" s="3192"/>
      <c r="AG27" s="3192"/>
      <c r="AH27" s="3192"/>
      <c r="AI27" s="261"/>
      <c r="AJ27" s="261"/>
      <c r="AK27" s="215"/>
      <c r="AL27" s="302"/>
      <c r="AM27" s="302"/>
      <c r="AN27" s="302"/>
      <c r="AO27" s="302"/>
      <c r="AP27" s="302"/>
      <c r="AQ27" s="352">
        <v>0</v>
      </c>
    </row>
    <row r="28" spans="1:43" s="2028" customFormat="1" ht="18.75" hidden="1" customHeight="1">
      <c r="A28" s="1285"/>
      <c r="B28" s="1285"/>
      <c r="C28" s="1285"/>
      <c r="D28" s="1285"/>
      <c r="E28" s="1285"/>
      <c r="F28" s="1285"/>
      <c r="G28" s="1285"/>
      <c r="H28" s="1285"/>
      <c r="I28" s="1285"/>
      <c r="J28" s="1285"/>
      <c r="K28" s="1285"/>
      <c r="L28" s="1286"/>
      <c r="M28" s="1285"/>
      <c r="N28" s="1285"/>
      <c r="O28" s="1285"/>
      <c r="S28" s="3191" t="s">
        <v>455</v>
      </c>
      <c r="T28" s="3191"/>
      <c r="U28" s="1289"/>
      <c r="V28" s="3201">
        <f>IF(TITLE_DATE_PR_CHANGE="",IF(TITLE_DATE_PR="","",TITLE_DATE_PR),TITLE_DATE_PR_CHANGE)</f>
        <v>45408</v>
      </c>
      <c r="W28" s="3201"/>
      <c r="X28" s="3201"/>
      <c r="Y28" s="3201"/>
      <c r="Z28" s="3201"/>
      <c r="AA28" s="3201"/>
      <c r="AB28" s="261"/>
      <c r="AC28" s="3201">
        <f>IF(TITLE_DATE_PR_CHANGE="",IF(TITLE_DATE_PR="","",TITLE_DATE_PR),TITLE_DATE_PR_CHANGE)</f>
        <v>45408</v>
      </c>
      <c r="AD28" s="3201"/>
      <c r="AE28" s="3201"/>
      <c r="AF28" s="3201"/>
      <c r="AG28" s="3201"/>
      <c r="AH28" s="3201"/>
      <c r="AI28" s="261"/>
      <c r="AJ28" s="261"/>
      <c r="AK28" s="215"/>
      <c r="AL28" s="302"/>
      <c r="AM28" s="302"/>
      <c r="AN28" s="302"/>
      <c r="AO28" s="302"/>
      <c r="AP28" s="302"/>
      <c r="AQ28" s="352">
        <v>0</v>
      </c>
    </row>
    <row r="29" spans="1:43" s="2028" customFormat="1" ht="18.75" hidden="1" customHeight="1">
      <c r="A29" s="1285"/>
      <c r="B29" s="1285"/>
      <c r="C29" s="1285"/>
      <c r="D29" s="1285"/>
      <c r="E29" s="1285"/>
      <c r="F29" s="1285"/>
      <c r="G29" s="1285"/>
      <c r="H29" s="1285"/>
      <c r="I29" s="1285"/>
      <c r="J29" s="1285"/>
      <c r="K29" s="1285"/>
      <c r="L29" s="1286"/>
      <c r="M29" s="1285"/>
      <c r="N29" s="1285"/>
      <c r="O29" s="1285"/>
      <c r="S29" s="3191" t="s">
        <v>456</v>
      </c>
      <c r="T29" s="3191"/>
      <c r="U29" s="1289"/>
      <c r="V29" s="3192" t="str">
        <f>IF(TITLE_NUMBER_PR_CHANGE="",IF(TITLE_NUMBER_PR="","",TITLE_NUMBER_PR),TITLE_NUMBER_PR_CHANGE)</f>
        <v>04-24/132, 04-24/131</v>
      </c>
      <c r="W29" s="3192"/>
      <c r="X29" s="3192"/>
      <c r="Y29" s="3192"/>
      <c r="Z29" s="3192"/>
      <c r="AA29" s="3192"/>
      <c r="AB29" s="261"/>
      <c r="AC29" s="3192" t="str">
        <f>IF(TITLE_NUMBER_PR_CHANGE="",IF(TITLE_NUMBER_PR="","",TITLE_NUMBER_PR),TITLE_NUMBER_PR_CHANGE)</f>
        <v>04-24/132, 04-24/131</v>
      </c>
      <c r="AD29" s="3192"/>
      <c r="AE29" s="3192"/>
      <c r="AF29" s="3192"/>
      <c r="AG29" s="3192"/>
      <c r="AH29" s="3192"/>
      <c r="AI29" s="261"/>
      <c r="AJ29" s="261"/>
      <c r="AK29" s="215"/>
      <c r="AL29" s="302"/>
      <c r="AM29" s="302"/>
      <c r="AN29" s="302"/>
      <c r="AO29" s="302"/>
      <c r="AP29" s="302"/>
      <c r="AQ29" s="352">
        <v>0</v>
      </c>
    </row>
    <row r="30" spans="1:43" s="2028" customFormat="1" ht="18.75" hidden="1" customHeight="1">
      <c r="A30" s="1285"/>
      <c r="B30" s="1285"/>
      <c r="C30" s="1285"/>
      <c r="D30" s="1285"/>
      <c r="E30" s="1285"/>
      <c r="F30" s="1285"/>
      <c r="G30" s="1285"/>
      <c r="H30" s="1285"/>
      <c r="I30" s="1285"/>
      <c r="J30" s="1285"/>
      <c r="K30" s="1285"/>
      <c r="L30" s="1286"/>
      <c r="M30" s="1285"/>
      <c r="N30" s="1285"/>
      <c r="O30" s="1285"/>
      <c r="S30" s="3191" t="s">
        <v>43</v>
      </c>
      <c r="T30" s="3191"/>
      <c r="U30" s="1289"/>
      <c r="V30" s="3192" t="str">
        <f>IF(TITLE_IST_PUB_CHANGE="",IF(TITLE_IST_PUB="","",TITLE_IST_PUB),TITLE_IST_PUB_CHANGE)</f>
        <v/>
      </c>
      <c r="W30" s="3192"/>
      <c r="X30" s="3192"/>
      <c r="Y30" s="3192"/>
      <c r="Z30" s="3192"/>
      <c r="AA30" s="3192"/>
      <c r="AB30" s="261"/>
      <c r="AC30" s="3192" t="str">
        <f>IF(TITLE_IST_PUB_CHANGE="",IF(TITLE_IST_PUB="","",TITLE_IST_PUB),TITLE_IST_PUB_CHANGE)</f>
        <v/>
      </c>
      <c r="AD30" s="3192"/>
      <c r="AE30" s="3192"/>
      <c r="AF30" s="3192"/>
      <c r="AG30" s="3192"/>
      <c r="AH30" s="3192"/>
      <c r="AI30" s="261"/>
      <c r="AJ30" s="261"/>
      <c r="AK30" s="215"/>
      <c r="AL30" s="302"/>
      <c r="AM30" s="302"/>
      <c r="AN30" s="302"/>
      <c r="AO30" s="302"/>
      <c r="AP30" s="302"/>
      <c r="AQ30" s="352">
        <v>0</v>
      </c>
    </row>
    <row r="31" spans="1:43" ht="14.25" customHeight="1">
      <c r="Q31" s="310"/>
      <c r="R31" s="310"/>
      <c r="S31" s="1192"/>
      <c r="T31" s="297"/>
      <c r="U31" s="297"/>
      <c r="V31" s="257"/>
      <c r="W31" s="257"/>
      <c r="X31" s="257"/>
      <c r="Y31" s="257"/>
      <c r="Z31" s="257"/>
      <c r="AA31" s="257"/>
      <c r="AB31" s="257"/>
      <c r="AC31" s="257"/>
      <c r="AD31" s="257"/>
      <c r="AE31" s="257"/>
      <c r="AF31" s="257"/>
      <c r="AG31" s="257"/>
      <c r="AH31" s="257"/>
      <c r="AI31" s="257"/>
      <c r="AJ31" s="443"/>
      <c r="AQ31" s="1072">
        <v>0</v>
      </c>
    </row>
    <row r="32" spans="1:43" s="2028" customFormat="1" ht="18.75" customHeight="1">
      <c r="A32" s="1285"/>
      <c r="B32" s="1285"/>
      <c r="C32" s="1285"/>
      <c r="D32" s="1285"/>
      <c r="E32" s="1285"/>
      <c r="F32" s="1285"/>
      <c r="G32" s="1285"/>
      <c r="H32" s="1285"/>
      <c r="I32" s="1285"/>
      <c r="J32" s="1285"/>
      <c r="K32" s="1285"/>
      <c r="L32" s="1286"/>
      <c r="M32" s="1285"/>
      <c r="N32" s="1285"/>
      <c r="O32" s="1285"/>
      <c r="S32" s="3191" t="s">
        <v>457</v>
      </c>
      <c r="T32" s="3191"/>
      <c r="U32" s="1289"/>
      <c r="V32" s="3201">
        <f>IF(TITLE_DATE_PR_CHANGE="",IF(TITLE_DATE_PR="","",TITLE_DATE_PR),TITLE_DATE_PR_CHANGE)</f>
        <v>45408</v>
      </c>
      <c r="W32" s="3201"/>
      <c r="X32" s="3201"/>
      <c r="Y32" s="3201"/>
      <c r="Z32" s="3201"/>
      <c r="AA32" s="3201"/>
      <c r="AB32" s="261"/>
      <c r="AC32" s="3201">
        <f>IF(TITLE_DATE_PR_CHANGE="",IF(TITLE_DATE_PR="","",TITLE_DATE_PR),TITLE_DATE_PR_CHANGE)</f>
        <v>45408</v>
      </c>
      <c r="AD32" s="3201"/>
      <c r="AE32" s="3201"/>
      <c r="AF32" s="3201"/>
      <c r="AG32" s="3201"/>
      <c r="AH32" s="3201"/>
      <c r="AI32" s="261"/>
      <c r="AJ32" s="261"/>
      <c r="AK32" s="215"/>
      <c r="AL32" s="302"/>
      <c r="AM32" s="302"/>
      <c r="AN32" s="302"/>
      <c r="AO32" s="302"/>
      <c r="AP32" s="302"/>
      <c r="AQ32" s="352">
        <v>0</v>
      </c>
    </row>
    <row r="33" spans="1:43" s="2028" customFormat="1" ht="18.75" customHeight="1">
      <c r="A33" s="1285"/>
      <c r="B33" s="1285"/>
      <c r="C33" s="1285"/>
      <c r="D33" s="1285"/>
      <c r="E33" s="1285"/>
      <c r="F33" s="1285"/>
      <c r="G33" s="1285"/>
      <c r="H33" s="1285"/>
      <c r="I33" s="1285"/>
      <c r="J33" s="1285"/>
      <c r="K33" s="1285"/>
      <c r="L33" s="1286"/>
      <c r="M33" s="1285"/>
      <c r="N33" s="1285"/>
      <c r="O33" s="1285"/>
      <c r="S33" s="3191" t="s">
        <v>458</v>
      </c>
      <c r="T33" s="3191"/>
      <c r="U33" s="1289"/>
      <c r="V33" s="3192" t="str">
        <f>IF(TITLE_NUMBER_PR_CHANGE="",IF(TITLE_NUMBER_PR="","",TITLE_NUMBER_PR),TITLE_NUMBER_PR_CHANGE)</f>
        <v>04-24/132, 04-24/131</v>
      </c>
      <c r="W33" s="3192"/>
      <c r="X33" s="3192"/>
      <c r="Y33" s="3192"/>
      <c r="Z33" s="3192"/>
      <c r="AA33" s="3192"/>
      <c r="AB33" s="261"/>
      <c r="AC33" s="3192" t="str">
        <f>IF(TITLE_NUMBER_PR_CHANGE="",IF(TITLE_NUMBER_PR="","",TITLE_NUMBER_PR),TITLE_NUMBER_PR_CHANGE)</f>
        <v>04-24/132, 04-24/131</v>
      </c>
      <c r="AD33" s="3192"/>
      <c r="AE33" s="3192"/>
      <c r="AF33" s="3192"/>
      <c r="AG33" s="3192"/>
      <c r="AH33" s="3192"/>
      <c r="AI33" s="261"/>
      <c r="AJ33" s="261"/>
      <c r="AK33" s="215"/>
      <c r="AL33" s="302"/>
      <c r="AM33" s="302"/>
      <c r="AN33" s="302"/>
      <c r="AO33" s="302"/>
      <c r="AP33" s="302"/>
      <c r="AQ33" s="352">
        <v>0</v>
      </c>
    </row>
    <row r="34" spans="1:43" s="2028" customFormat="1" ht="1" customHeight="1">
      <c r="A34" s="1285"/>
      <c r="B34" s="1285"/>
      <c r="C34" s="1285"/>
      <c r="D34" s="1285"/>
      <c r="E34" s="1285"/>
      <c r="F34" s="1285"/>
      <c r="G34" s="1285"/>
      <c r="H34" s="1285"/>
      <c r="I34" s="1285"/>
      <c r="J34" s="1285"/>
      <c r="K34" s="1285"/>
      <c r="L34" s="1286"/>
      <c r="M34" s="1285"/>
      <c r="N34" s="1285"/>
      <c r="O34" s="1285"/>
      <c r="S34" s="258"/>
      <c r="T34" s="258"/>
      <c r="U34" s="1371"/>
      <c r="V34" s="261"/>
      <c r="W34" s="261"/>
      <c r="X34" s="261"/>
      <c r="Y34" s="261"/>
      <c r="Z34" s="261"/>
      <c r="AA34" s="261"/>
      <c r="AB34" s="213" t="s">
        <v>459</v>
      </c>
      <c r="AC34" s="261"/>
      <c r="AD34" s="261"/>
      <c r="AE34" s="261"/>
      <c r="AF34" s="261"/>
      <c r="AG34" s="261"/>
      <c r="AH34" s="261"/>
      <c r="AI34" s="213" t="s">
        <v>459</v>
      </c>
      <c r="AL34" s="302"/>
      <c r="AM34" s="302"/>
      <c r="AN34" s="302"/>
      <c r="AO34" s="302"/>
      <c r="AP34" s="302"/>
      <c r="AQ34" s="352">
        <v>1</v>
      </c>
    </row>
    <row r="35" spans="1:43" ht="14.65" customHeight="1">
      <c r="Q35" s="310"/>
      <c r="R35" s="310"/>
      <c r="S35" s="1192"/>
      <c r="T35" s="297"/>
      <c r="U35" s="1161"/>
      <c r="V35" s="3193"/>
      <c r="W35" s="3193"/>
      <c r="X35" s="3193"/>
      <c r="Y35" s="3193"/>
      <c r="Z35" s="3193"/>
      <c r="AA35" s="3193"/>
      <c r="AB35" s="3193"/>
      <c r="AC35" s="3193"/>
      <c r="AD35" s="3193"/>
      <c r="AE35" s="3193"/>
      <c r="AF35" s="3193"/>
      <c r="AG35" s="3193"/>
      <c r="AH35" s="3193"/>
      <c r="AI35" s="3193"/>
      <c r="AQ35" s="1072">
        <v>14</v>
      </c>
    </row>
    <row r="36" spans="1:43" ht="14.65" customHeight="1">
      <c r="Q36" s="310"/>
      <c r="R36" s="310"/>
      <c r="S36" s="3067" t="s">
        <v>335</v>
      </c>
      <c r="T36" s="3067"/>
      <c r="U36" s="3067"/>
      <c r="V36" s="3067"/>
      <c r="W36" s="3067"/>
      <c r="X36" s="3067"/>
      <c r="Y36" s="3067"/>
      <c r="Z36" s="3067"/>
      <c r="AA36" s="3067"/>
      <c r="AB36" s="3067"/>
      <c r="AC36" s="3067"/>
      <c r="AD36" s="3067"/>
      <c r="AE36" s="3067"/>
      <c r="AF36" s="3067"/>
      <c r="AG36" s="3067"/>
      <c r="AH36" s="3067"/>
      <c r="AI36" s="3067"/>
      <c r="AJ36" s="3067"/>
      <c r="AK36" s="3067" t="s">
        <v>336</v>
      </c>
      <c r="AQ36" s="1072">
        <v>14</v>
      </c>
    </row>
    <row r="37" spans="1:43" ht="14.65" customHeight="1">
      <c r="Q37" s="310"/>
      <c r="R37" s="310"/>
      <c r="S37" s="3207" t="s">
        <v>89</v>
      </c>
      <c r="T37" s="3159" t="s">
        <v>460</v>
      </c>
      <c r="U37" s="236"/>
      <c r="V37" s="3208" t="s">
        <v>461</v>
      </c>
      <c r="W37" s="3209"/>
      <c r="X37" s="3209"/>
      <c r="Y37" s="3209"/>
      <c r="Z37" s="3209"/>
      <c r="AA37" s="3210"/>
      <c r="AB37" s="3211" t="s">
        <v>462</v>
      </c>
      <c r="AC37" s="3208" t="s">
        <v>461</v>
      </c>
      <c r="AD37" s="3209"/>
      <c r="AE37" s="3209"/>
      <c r="AF37" s="3209"/>
      <c r="AG37" s="3209"/>
      <c r="AH37" s="3210"/>
      <c r="AI37" s="3211" t="s">
        <v>463</v>
      </c>
      <c r="AJ37" s="3214" t="s">
        <v>464</v>
      </c>
      <c r="AK37" s="3067"/>
      <c r="AQ37" s="1072">
        <v>14</v>
      </c>
    </row>
    <row r="38" spans="1:43" ht="35.65" customHeight="1">
      <c r="Q38" s="310"/>
      <c r="R38" s="310"/>
      <c r="S38" s="3207"/>
      <c r="T38" s="3159"/>
      <c r="U38" s="952"/>
      <c r="V38" s="1369" t="s">
        <v>522</v>
      </c>
      <c r="W38" s="3038" t="s">
        <v>467</v>
      </c>
      <c r="X38" s="3037"/>
      <c r="Y38" s="3038" t="s">
        <v>468</v>
      </c>
      <c r="Z38" s="3044"/>
      <c r="AA38" s="3037"/>
      <c r="AB38" s="3212"/>
      <c r="AC38" s="1369" t="s">
        <v>522</v>
      </c>
      <c r="AD38" s="3038" t="s">
        <v>467</v>
      </c>
      <c r="AE38" s="3037"/>
      <c r="AF38" s="3038" t="s">
        <v>468</v>
      </c>
      <c r="AG38" s="3044"/>
      <c r="AH38" s="3037"/>
      <c r="AI38" s="3212"/>
      <c r="AJ38" s="3215"/>
      <c r="AK38" s="3067"/>
      <c r="AQ38" s="1072">
        <v>34</v>
      </c>
    </row>
    <row r="39" spans="1:43" ht="35.65" customHeight="1">
      <c r="A39" s="1287"/>
      <c r="B39" s="1287" t="s">
        <v>149</v>
      </c>
      <c r="C39" s="1287" t="s">
        <v>150</v>
      </c>
      <c r="D39" s="1287" t="s">
        <v>151</v>
      </c>
      <c r="E39" s="1281" t="s">
        <v>469</v>
      </c>
      <c r="F39" s="1281" t="s">
        <v>470</v>
      </c>
      <c r="G39" s="1281" t="s">
        <v>471</v>
      </c>
      <c r="H39" s="1281"/>
      <c r="I39" s="1281" t="s">
        <v>523</v>
      </c>
      <c r="J39" s="1281" t="s">
        <v>474</v>
      </c>
      <c r="K39" s="1281" t="s">
        <v>524</v>
      </c>
      <c r="L39" s="1281" t="s">
        <v>450</v>
      </c>
      <c r="Q39" s="310"/>
      <c r="R39" s="310"/>
      <c r="S39" s="3207"/>
      <c r="T39" s="3159"/>
      <c r="U39" s="237"/>
      <c r="V39" s="1369" t="s">
        <v>525</v>
      </c>
      <c r="W39" s="1139" t="s">
        <v>526</v>
      </c>
      <c r="X39" s="1139" t="s">
        <v>527</v>
      </c>
      <c r="Y39" s="1372" t="s">
        <v>478</v>
      </c>
      <c r="Z39" s="3167" t="s">
        <v>479</v>
      </c>
      <c r="AA39" s="3169"/>
      <c r="AB39" s="3213"/>
      <c r="AC39" s="1369" t="s">
        <v>525</v>
      </c>
      <c r="AD39" s="1139" t="s">
        <v>526</v>
      </c>
      <c r="AE39" s="1139" t="s">
        <v>527</v>
      </c>
      <c r="AF39" s="1372" t="s">
        <v>478</v>
      </c>
      <c r="AG39" s="3167" t="s">
        <v>479</v>
      </c>
      <c r="AH39" s="3169"/>
      <c r="AI39" s="3213"/>
      <c r="AJ39" s="3216"/>
      <c r="AK39" s="3067"/>
      <c r="AQ39" s="1072">
        <v>34</v>
      </c>
    </row>
    <row r="40" spans="1:43" s="2212" customFormat="1" ht="0" hidden="1" customHeight="1">
      <c r="A40" s="1287"/>
      <c r="B40" s="1287"/>
      <c r="C40" s="1287"/>
      <c r="D40" s="1287"/>
      <c r="E40" s="1287"/>
      <c r="F40" s="1287"/>
      <c r="G40" s="1287"/>
      <c r="H40" s="1287"/>
      <c r="I40" s="1287"/>
      <c r="J40" s="1287"/>
      <c r="K40" s="1287"/>
      <c r="L40" s="1281"/>
      <c r="M40" s="1279"/>
      <c r="N40" s="1279"/>
      <c r="O40" s="1279"/>
      <c r="P40" s="1163"/>
      <c r="Q40" s="1164"/>
      <c r="R40" s="1171">
        <v>1</v>
      </c>
      <c r="S40" s="1194" t="s">
        <v>124</v>
      </c>
      <c r="T40" s="1172" t="s">
        <v>104</v>
      </c>
      <c r="U40" s="1162" t="str">
        <f ca="1">OFFSET(U40,0,-1)</f>
        <v>2</v>
      </c>
      <c r="V40" s="1368">
        <f ca="1">OFFSET(V40,0,-1)+1</f>
        <v>3</v>
      </c>
      <c r="W40" s="1368">
        <f ca="1">OFFSET(W40,0,-1)+1</f>
        <v>4</v>
      </c>
      <c r="X40" s="1368">
        <f ca="1">OFFSET(X40,0,-1)+1</f>
        <v>5</v>
      </c>
      <c r="Y40" s="1368">
        <f ca="1">OFFSET(Y40,0,-1)+1</f>
        <v>6</v>
      </c>
      <c r="Z40" s="3206">
        <f ca="1">OFFSET(Z40,0,-1)+1</f>
        <v>7</v>
      </c>
      <c r="AA40" s="3206"/>
      <c r="AB40" s="1368">
        <f ca="1">OFFSET(AB40,0,-2)+1</f>
        <v>8</v>
      </c>
      <c r="AC40" s="1368">
        <f ca="1">OFFSET(AC40,0,-1)+1</f>
        <v>9</v>
      </c>
      <c r="AD40" s="1368">
        <f ca="1">OFFSET(AD40,0,-1)+1</f>
        <v>10</v>
      </c>
      <c r="AE40" s="1368">
        <f ca="1">OFFSET(AE40,0,-1)+1</f>
        <v>11</v>
      </c>
      <c r="AF40" s="1368">
        <f ca="1">OFFSET(AF40,0,-1)+1</f>
        <v>12</v>
      </c>
      <c r="AG40" s="3206">
        <f ca="1">OFFSET(AG40,0,-1)+1</f>
        <v>13</v>
      </c>
      <c r="AH40" s="3206"/>
      <c r="AI40" s="1368">
        <f ca="1">OFFSET(AI40,0,-2)+1</f>
        <v>14</v>
      </c>
      <c r="AJ40" s="1162">
        <f ca="1">OFFSET(AJ40,0,-1)</f>
        <v>14</v>
      </c>
      <c r="AK40" s="1368">
        <f ca="1">OFFSET(AK40,0,-1)+1</f>
        <v>15</v>
      </c>
      <c r="AL40" s="445"/>
      <c r="AM40" s="445"/>
      <c r="AN40" s="445"/>
      <c r="AO40" s="445"/>
      <c r="AP40" s="445"/>
      <c r="AQ40" s="430">
        <v>0</v>
      </c>
    </row>
    <row r="41" spans="1:43" ht="24" customHeight="1">
      <c r="A41" s="1280" t="s">
        <v>271</v>
      </c>
      <c r="B41" s="1280"/>
      <c r="C41" s="1280"/>
      <c r="D41" s="1280"/>
      <c r="E41" s="3199">
        <v>1</v>
      </c>
      <c r="F41" s="1280"/>
      <c r="G41" s="1280"/>
      <c r="H41" s="1280"/>
      <c r="I41" s="1280"/>
      <c r="J41" s="1280"/>
      <c r="K41" s="1280"/>
      <c r="L41" s="1281"/>
      <c r="M41" s="1282"/>
      <c r="N41" s="1282"/>
      <c r="O41" s="1282"/>
      <c r="P41" s="295"/>
      <c r="Q41" s="294"/>
      <c r="R41" s="289"/>
      <c r="S41" s="1374">
        <f>INDEX(PT_DIFFERENTIATION_NUM_NTAR,MATCH(A41,PT_DIFFERENTIATION_NTAR_ID,0))</f>
        <v>0</v>
      </c>
      <c r="T41" s="233" t="s">
        <v>137</v>
      </c>
      <c r="U41" s="235"/>
      <c r="V41" s="3185"/>
      <c r="W41" s="3186"/>
      <c r="X41" s="3186"/>
      <c r="Y41" s="3186"/>
      <c r="Z41" s="3186"/>
      <c r="AA41" s="3186"/>
      <c r="AB41" s="3187"/>
      <c r="AC41" s="3185" t="str">
        <f>INDEX(PT_DIFFERENTIATION_NTAR,MATCH(A41,PT_DIFFERENTIATION_NTAR_ID,0))</f>
        <v/>
      </c>
      <c r="AD41" s="3186"/>
      <c r="AE41" s="3186"/>
      <c r="AF41" s="3186"/>
      <c r="AG41" s="3186"/>
      <c r="AH41" s="3186"/>
      <c r="AI41" s="3186"/>
      <c r="AJ41" s="3187"/>
      <c r="AK41"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4"/>
      <c r="AN41" s="434" t="str">
        <f t="shared" ref="AN41:AN53" si="1">IF(T41="","",T41)</f>
        <v>Наименование тарифа</v>
      </c>
      <c r="AO41" s="434"/>
      <c r="AP41" s="434"/>
      <c r="AQ41" s="1072">
        <v>23</v>
      </c>
    </row>
    <row r="42" spans="1:43" ht="24" customHeight="1">
      <c r="A42" s="1280" t="s">
        <v>271</v>
      </c>
      <c r="B42" s="1280" t="s">
        <v>272</v>
      </c>
      <c r="C42" s="1280"/>
      <c r="D42" s="1280"/>
      <c r="E42" s="3200"/>
      <c r="F42" s="3199">
        <v>1</v>
      </c>
      <c r="G42" s="1280"/>
      <c r="H42" s="1280"/>
      <c r="I42" s="1280"/>
      <c r="J42" s="1280"/>
      <c r="K42" s="1280"/>
      <c r="L42" s="1281"/>
      <c r="M42" s="1282"/>
      <c r="N42" s="1282"/>
      <c r="O42" s="1282"/>
      <c r="P42" s="1370"/>
      <c r="Q42" s="286"/>
      <c r="R42" s="287"/>
      <c r="S42" s="1374" t="str">
        <f>INDEX(PT_DIFFERENTIATION_NUM_TER,MATCH(B42,PT_DIFFERENTIATION_TER_ID,0))</f>
        <v>.</v>
      </c>
      <c r="T42" s="243" t="s">
        <v>432</v>
      </c>
      <c r="U42" s="235"/>
      <c r="V42" s="3185"/>
      <c r="W42" s="3186"/>
      <c r="X42" s="3186"/>
      <c r="Y42" s="3186"/>
      <c r="Z42" s="3186"/>
      <c r="AA42" s="3186"/>
      <c r="AB42" s="3187"/>
      <c r="AC42" s="3185" t="str">
        <f>INDEX(PT_DIFFERENTIATION_TER,MATCH(B42,PT_DIFFERENTIATION_TER_ID,0))</f>
        <v/>
      </c>
      <c r="AD42" s="3186"/>
      <c r="AE42" s="3186"/>
      <c r="AF42" s="3186"/>
      <c r="AG42" s="3186"/>
      <c r="AH42" s="3186"/>
      <c r="AI42" s="3186"/>
      <c r="AJ42" s="3187"/>
      <c r="AK42" s="1175" t="s">
        <v>433</v>
      </c>
      <c r="AM42" s="434"/>
      <c r="AN42" s="434" t="str">
        <f t="shared" si="1"/>
        <v>Территория действия тарифа</v>
      </c>
      <c r="AO42" s="434"/>
      <c r="AP42" s="434"/>
      <c r="AQ42" s="1072">
        <v>23</v>
      </c>
    </row>
    <row r="43" spans="1:43" ht="24" customHeight="1">
      <c r="A43" s="1280" t="s">
        <v>271</v>
      </c>
      <c r="B43" s="1280" t="s">
        <v>272</v>
      </c>
      <c r="C43" s="1280" t="s">
        <v>273</v>
      </c>
      <c r="D43" s="1280"/>
      <c r="E43" s="3200"/>
      <c r="F43" s="3200"/>
      <c r="G43" s="3199">
        <v>1</v>
      </c>
      <c r="H43" s="1280"/>
      <c r="I43" s="1280"/>
      <c r="J43" s="1280"/>
      <c r="K43" s="1280"/>
      <c r="L43" s="1281"/>
      <c r="M43" s="1282"/>
      <c r="N43" s="1282"/>
      <c r="O43" s="1282"/>
      <c r="P43" s="288"/>
      <c r="Q43" s="286"/>
      <c r="R43" s="287"/>
      <c r="S43" s="1374" t="str">
        <f>INDEX(PT_DIFFERENTIATION_NUM_CS,MATCH(C43,PT_DIFFERENTIATION_CS_ID,0))</f>
        <v>..</v>
      </c>
      <c r="T43" s="244" t="s">
        <v>514</v>
      </c>
      <c r="U43" s="235"/>
      <c r="V43" s="3185"/>
      <c r="W43" s="3186"/>
      <c r="X43" s="3186"/>
      <c r="Y43" s="3186"/>
      <c r="Z43" s="3186"/>
      <c r="AA43" s="3186"/>
      <c r="AB43" s="3187"/>
      <c r="AC43" s="3185" t="str">
        <f>INDEX(PT_DIFFERENTIATION_CS,MATCH(C43,PT_DIFFERENTIATION_CS_ID,0))</f>
        <v/>
      </c>
      <c r="AD43" s="3186"/>
      <c r="AE43" s="3186"/>
      <c r="AF43" s="3186"/>
      <c r="AG43" s="3186"/>
      <c r="AH43" s="3186"/>
      <c r="AI43" s="3186"/>
      <c r="AJ43" s="3187"/>
      <c r="AK43" s="1175" t="s">
        <v>515</v>
      </c>
      <c r="AM43" s="434"/>
      <c r="AN43" s="434" t="str">
        <f t="shared" si="1"/>
        <v>Наименование централизованной системы холодного водоснабжения</v>
      </c>
      <c r="AO43" s="434"/>
      <c r="AP43" s="434"/>
      <c r="AQ43" s="1072">
        <v>23</v>
      </c>
    </row>
    <row r="44" spans="1:43" ht="24" customHeight="1">
      <c r="A44" s="1280" t="s">
        <v>271</v>
      </c>
      <c r="B44" s="1280" t="s">
        <v>272</v>
      </c>
      <c r="C44" s="1280" t="s">
        <v>273</v>
      </c>
      <c r="D44" s="1280" t="s">
        <v>530</v>
      </c>
      <c r="E44" s="3200"/>
      <c r="F44" s="3200"/>
      <c r="G44" s="3200"/>
      <c r="H44" s="3200"/>
      <c r="I44" s="3197" t="str">
        <f>S43&amp;".1"</f>
        <v>...1</v>
      </c>
      <c r="J44" s="1280"/>
      <c r="K44" s="1280"/>
      <c r="L44" s="1281"/>
      <c r="P44" s="3198">
        <v>1</v>
      </c>
      <c r="Q44" s="1367"/>
      <c r="R44" s="290"/>
      <c r="S44" s="1374" t="str">
        <f>$I44</f>
        <v>...1</v>
      </c>
      <c r="T44" s="220" t="s">
        <v>516</v>
      </c>
      <c r="U44" s="235"/>
      <c r="V44" s="3266"/>
      <c r="W44" s="3267"/>
      <c r="X44" s="3267"/>
      <c r="Y44" s="3267"/>
      <c r="Z44" s="3267"/>
      <c r="AA44" s="3267"/>
      <c r="AB44" s="3268"/>
      <c r="AC44" s="3269"/>
      <c r="AD44" s="3270"/>
      <c r="AE44" s="3270"/>
      <c r="AF44" s="3270"/>
      <c r="AG44" s="3270"/>
      <c r="AH44" s="3270"/>
      <c r="AI44" s="3270"/>
      <c r="AJ44" s="3271"/>
      <c r="AK44" s="1175" t="s">
        <v>517</v>
      </c>
      <c r="AM44" s="434"/>
      <c r="AN44" s="434" t="str">
        <f t="shared" si="1"/>
        <v>Наименование признака дифференциации</v>
      </c>
      <c r="AO44" s="434"/>
      <c r="AP44" s="434"/>
      <c r="AQ44" s="1072">
        <v>23</v>
      </c>
    </row>
    <row r="45" spans="1:43" ht="24" customHeight="1">
      <c r="A45" s="1280" t="s">
        <v>271</v>
      </c>
      <c r="B45" s="1280" t="s">
        <v>272</v>
      </c>
      <c r="C45" s="1280" t="s">
        <v>273</v>
      </c>
      <c r="D45" s="1280" t="s">
        <v>530</v>
      </c>
      <c r="E45" s="3200"/>
      <c r="F45" s="3200"/>
      <c r="G45" s="3200"/>
      <c r="H45" s="3200"/>
      <c r="I45" s="3220"/>
      <c r="J45" s="3197" t="str">
        <f>I44&amp;".1"</f>
        <v>...1.1</v>
      </c>
      <c r="K45" s="1280"/>
      <c r="L45" s="1281" t="s">
        <v>441</v>
      </c>
      <c r="P45" s="3198"/>
      <c r="Q45" s="3198">
        <v>1</v>
      </c>
      <c r="R45" s="291"/>
      <c r="S45" s="1374" t="str">
        <f>$J45</f>
        <v>...1.1</v>
      </c>
      <c r="T45" s="221" t="s">
        <v>442</v>
      </c>
      <c r="U45" s="235"/>
      <c r="V45" s="3188"/>
      <c r="W45" s="3189"/>
      <c r="X45" s="3189"/>
      <c r="Y45" s="3189"/>
      <c r="Z45" s="3189"/>
      <c r="AA45" s="3189"/>
      <c r="AB45" s="3190"/>
      <c r="AC45" s="3188"/>
      <c r="AD45" s="3189"/>
      <c r="AE45" s="3189"/>
      <c r="AF45" s="3189"/>
      <c r="AG45" s="3189"/>
      <c r="AH45" s="3189"/>
      <c r="AI45" s="3189"/>
      <c r="AJ45" s="3190"/>
      <c r="AK45" s="1224" t="s">
        <v>518</v>
      </c>
      <c r="AM45" s="434"/>
      <c r="AN45" s="434" t="str">
        <f t="shared" si="1"/>
        <v>Группа потребителей</v>
      </c>
      <c r="AO45" s="434"/>
      <c r="AP45" s="434"/>
      <c r="AQ45" s="1072">
        <v>23</v>
      </c>
    </row>
    <row r="46" spans="1:43" ht="24" customHeight="1">
      <c r="A46" s="1280" t="s">
        <v>271</v>
      </c>
      <c r="B46" s="1280" t="s">
        <v>272</v>
      </c>
      <c r="C46" s="1280" t="s">
        <v>273</v>
      </c>
      <c r="D46" s="1280" t="s">
        <v>530</v>
      </c>
      <c r="E46" s="3200"/>
      <c r="F46" s="3200"/>
      <c r="G46" s="3200"/>
      <c r="H46" s="3200"/>
      <c r="I46" s="3220"/>
      <c r="J46" s="3220"/>
      <c r="K46" s="3197" t="str">
        <f>J45&amp;".1"</f>
        <v>...1.1.1</v>
      </c>
      <c r="L46" s="1281"/>
      <c r="P46" s="3198"/>
      <c r="Q46" s="3198"/>
      <c r="R46" s="291">
        <v>1</v>
      </c>
      <c r="S46" s="1374" t="str">
        <f>$K46</f>
        <v>...1.1.1</v>
      </c>
      <c r="T46" s="1354"/>
      <c r="U46" s="235"/>
      <c r="V46" s="685"/>
      <c r="W46" s="685"/>
      <c r="X46" s="1174"/>
      <c r="Y46" s="3202"/>
      <c r="Z46" s="3048" t="s">
        <v>67</v>
      </c>
      <c r="AA46" s="3202"/>
      <c r="AB46" s="3048" t="s">
        <v>67</v>
      </c>
      <c r="AC46" s="685"/>
      <c r="AD46" s="685"/>
      <c r="AE46" s="1174"/>
      <c r="AF46" s="3202"/>
      <c r="AG46" s="3048" t="s">
        <v>67</v>
      </c>
      <c r="AH46" s="3221"/>
      <c r="AI46" s="3048" t="s">
        <v>67</v>
      </c>
      <c r="AJ46" s="1355"/>
      <c r="AK46" s="3265"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5" t="e">
        <f ca="1">STRCHECKDATE(V47:AJ47)</f>
        <v>#NAME?</v>
      </c>
      <c r="AM46" s="434"/>
      <c r="AN46" s="434" t="str">
        <f t="shared" si="1"/>
        <v/>
      </c>
      <c r="AO46" s="434"/>
      <c r="AP46" s="434"/>
      <c r="AQ46" s="1072">
        <v>23</v>
      </c>
    </row>
    <row r="47" spans="1:43" ht="0" hidden="1" customHeight="1">
      <c r="A47" s="1280" t="s">
        <v>271</v>
      </c>
      <c r="B47" s="1280" t="s">
        <v>272</v>
      </c>
      <c r="C47" s="1280" t="s">
        <v>273</v>
      </c>
      <c r="D47" s="1280" t="s">
        <v>530</v>
      </c>
      <c r="E47" s="3200"/>
      <c r="F47" s="3200"/>
      <c r="G47" s="3200"/>
      <c r="H47" s="3200"/>
      <c r="I47" s="3220"/>
      <c r="J47" s="3220"/>
      <c r="K47" s="3197"/>
      <c r="L47" s="1281"/>
      <c r="P47" s="3198"/>
      <c r="Q47" s="3198"/>
      <c r="R47" s="291"/>
      <c r="S47" s="1373"/>
      <c r="T47" s="235"/>
      <c r="U47" s="235"/>
      <c r="V47" s="260"/>
      <c r="W47" s="260"/>
      <c r="X47" s="263" t="str">
        <f>Y46&amp;"-"&amp;AA46</f>
        <v>-</v>
      </c>
      <c r="Y47" s="3203"/>
      <c r="Z47" s="3048"/>
      <c r="AA47" s="3203"/>
      <c r="AB47" s="3048"/>
      <c r="AC47" s="260"/>
      <c r="AD47" s="260"/>
      <c r="AE47" s="263" t="str">
        <f>AF46&amp;"-"&amp;AH46</f>
        <v>-</v>
      </c>
      <c r="AF47" s="3203"/>
      <c r="AG47" s="3048"/>
      <c r="AH47" s="3222"/>
      <c r="AI47" s="3048"/>
      <c r="AJ47" s="1356"/>
      <c r="AK47" s="3265"/>
      <c r="AM47" s="434"/>
      <c r="AN47" s="434" t="str">
        <f t="shared" si="1"/>
        <v/>
      </c>
      <c r="AO47" s="434"/>
      <c r="AP47" s="434"/>
      <c r="AQ47" s="1072">
        <v>0</v>
      </c>
    </row>
    <row r="48" spans="1:43" ht="21" customHeight="1">
      <c r="A48" s="1280" t="s">
        <v>271</v>
      </c>
      <c r="B48" s="1280" t="s">
        <v>272</v>
      </c>
      <c r="C48" s="1280" t="s">
        <v>273</v>
      </c>
      <c r="D48" s="1280" t="s">
        <v>530</v>
      </c>
      <c r="E48" s="3200"/>
      <c r="F48" s="3200"/>
      <c r="G48" s="3200"/>
      <c r="H48" s="3200"/>
      <c r="I48" s="3220"/>
      <c r="J48" s="3197"/>
      <c r="K48" s="1280"/>
      <c r="L48" s="1281"/>
      <c r="P48" s="3198"/>
      <c r="Q48" s="3198"/>
      <c r="R48" s="290"/>
      <c r="S48" s="1195"/>
      <c r="T48" s="222" t="s">
        <v>519</v>
      </c>
      <c r="U48" s="301"/>
      <c r="V48" s="301"/>
      <c r="W48" s="301"/>
      <c r="X48" s="301"/>
      <c r="Y48" s="301"/>
      <c r="Z48" s="301"/>
      <c r="AA48" s="301"/>
      <c r="AB48" s="301"/>
      <c r="AC48" s="301"/>
      <c r="AD48" s="301"/>
      <c r="AE48" s="301"/>
      <c r="AF48" s="301"/>
      <c r="AG48" s="301"/>
      <c r="AH48" s="301"/>
      <c r="AI48" s="301"/>
      <c r="AJ48" s="301"/>
      <c r="AK48" s="1175" t="s">
        <v>520</v>
      </c>
      <c r="AM48" s="434"/>
      <c r="AN48" s="434" t="str">
        <f t="shared" si="1"/>
        <v>Добавить значение признака дифференциации</v>
      </c>
      <c r="AO48" s="434"/>
      <c r="AP48" s="434"/>
      <c r="AQ48" s="1072">
        <v>20</v>
      </c>
    </row>
    <row r="49" spans="1:43" ht="22" customHeight="1">
      <c r="A49" s="1280" t="s">
        <v>271</v>
      </c>
      <c r="B49" s="1280" t="s">
        <v>272</v>
      </c>
      <c r="C49" s="1280" t="s">
        <v>273</v>
      </c>
      <c r="D49" s="1280" t="s">
        <v>530</v>
      </c>
      <c r="E49" s="3200"/>
      <c r="F49" s="3200"/>
      <c r="G49" s="3200"/>
      <c r="H49" s="3200"/>
      <c r="I49" s="3197"/>
      <c r="J49" s="1280"/>
      <c r="K49" s="1280"/>
      <c r="L49" s="1281"/>
      <c r="P49" s="3198"/>
      <c r="Q49" s="1367"/>
      <c r="R49" s="290"/>
      <c r="S49" s="1195"/>
      <c r="T49" s="299" t="s">
        <v>447</v>
      </c>
      <c r="U49" s="301"/>
      <c r="V49" s="301"/>
      <c r="W49" s="301"/>
      <c r="X49" s="301"/>
      <c r="Y49" s="301"/>
      <c r="Z49" s="301"/>
      <c r="AA49" s="301"/>
      <c r="AB49" s="300"/>
      <c r="AC49" s="301"/>
      <c r="AD49" s="301"/>
      <c r="AE49" s="301"/>
      <c r="AF49" s="301"/>
      <c r="AG49" s="301"/>
      <c r="AH49" s="301"/>
      <c r="AI49" s="300"/>
      <c r="AJ49" s="301"/>
      <c r="AK49" s="1357"/>
      <c r="AM49" s="434"/>
      <c r="AN49" s="434" t="str">
        <f t="shared" si="1"/>
        <v>Добавить группу потребителей</v>
      </c>
      <c r="AO49" s="434"/>
      <c r="AP49" s="434"/>
      <c r="AQ49" s="1072">
        <v>21</v>
      </c>
    </row>
    <row r="50" spans="1:43" ht="22" customHeight="1">
      <c r="A50" s="1280" t="s">
        <v>271</v>
      </c>
      <c r="B50" s="1280" t="s">
        <v>272</v>
      </c>
      <c r="C50" s="1280" t="s">
        <v>273</v>
      </c>
      <c r="D50" s="1280" t="s">
        <v>530</v>
      </c>
      <c r="E50" s="3200"/>
      <c r="F50" s="3200"/>
      <c r="G50" s="3200"/>
      <c r="H50" s="3199"/>
      <c r="I50" s="1280"/>
      <c r="J50" s="1280"/>
      <c r="K50" s="1280"/>
      <c r="L50" s="1281"/>
      <c r="M50" s="1282"/>
      <c r="N50" s="1282"/>
      <c r="O50" s="471"/>
      <c r="P50" s="294"/>
      <c r="Q50" s="309"/>
      <c r="R50" s="289"/>
      <c r="S50" s="1195"/>
      <c r="T50" s="306" t="s">
        <v>521</v>
      </c>
      <c r="U50" s="301"/>
      <c r="V50" s="301"/>
      <c r="W50" s="301"/>
      <c r="X50" s="301"/>
      <c r="Y50" s="301"/>
      <c r="Z50" s="301"/>
      <c r="AA50" s="301"/>
      <c r="AB50" s="300"/>
      <c r="AC50" s="301"/>
      <c r="AD50" s="301"/>
      <c r="AE50" s="301"/>
      <c r="AF50" s="301"/>
      <c r="AG50" s="301"/>
      <c r="AH50" s="301"/>
      <c r="AI50" s="300"/>
      <c r="AJ50" s="301"/>
      <c r="AK50" s="238"/>
      <c r="AM50" s="434"/>
      <c r="AN50" s="434" t="str">
        <f t="shared" si="1"/>
        <v>Добавить наименование признака дифференциации</v>
      </c>
      <c r="AO50" s="434"/>
      <c r="AP50" s="434"/>
      <c r="AQ50" s="1072">
        <v>21</v>
      </c>
    </row>
    <row r="51" spans="1:43" s="2017" customFormat="1" ht="0" hidden="1" customHeight="1">
      <c r="A51" s="1260" t="s">
        <v>271</v>
      </c>
      <c r="B51" s="1260" t="s">
        <v>272</v>
      </c>
      <c r="C51" s="1231"/>
      <c r="D51" s="1231"/>
      <c r="E51" s="3200"/>
      <c r="F51" s="3199"/>
      <c r="G51" s="1231"/>
      <c r="H51" s="1231"/>
      <c r="I51" s="1231"/>
      <c r="J51" s="1231"/>
      <c r="K51" s="1231"/>
      <c r="L51" s="1375"/>
      <c r="M51" s="1238"/>
      <c r="N51" s="1238"/>
      <c r="P51" s="1233"/>
      <c r="Q51" s="1234"/>
      <c r="R51" s="1233"/>
      <c r="S51" s="1239"/>
      <c r="T51" s="1242" t="s">
        <v>181</v>
      </c>
      <c r="U51" s="1241"/>
      <c r="V51" s="1241"/>
      <c r="W51" s="1241"/>
      <c r="X51" s="1241"/>
      <c r="Y51" s="1241"/>
      <c r="Z51" s="1241"/>
      <c r="AA51" s="1241"/>
      <c r="AB51" s="1241"/>
      <c r="AC51" s="1241"/>
      <c r="AD51" s="1241"/>
      <c r="AE51" s="1241"/>
      <c r="AF51" s="1241"/>
      <c r="AG51" s="1241"/>
      <c r="AH51" s="1241"/>
      <c r="AI51" s="1241"/>
      <c r="AJ51" s="1241"/>
      <c r="AK51" s="1241"/>
      <c r="AM51" s="717"/>
      <c r="AN51" s="717" t="str">
        <f t="shared" si="1"/>
        <v>Добавить централизованную систему для дифференциации</v>
      </c>
      <c r="AO51" s="717"/>
      <c r="AP51" s="717"/>
      <c r="AQ51" s="452">
        <v>0</v>
      </c>
    </row>
    <row r="52" spans="1:43" s="2017" customFormat="1" ht="0" hidden="1" customHeight="1">
      <c r="A52" s="1260" t="s">
        <v>271</v>
      </c>
      <c r="B52" s="1260"/>
      <c r="C52" s="1260"/>
      <c r="D52" s="1260"/>
      <c r="E52" s="3199"/>
      <c r="F52" s="1260"/>
      <c r="G52" s="1260"/>
      <c r="H52" s="1260"/>
      <c r="I52" s="1260"/>
      <c r="J52" s="1260"/>
      <c r="K52" s="1260"/>
      <c r="L52" s="1263"/>
      <c r="M52" s="1238"/>
      <c r="N52" s="1238"/>
      <c r="O52" s="452"/>
      <c r="P52" s="314"/>
      <c r="Q52" s="1261"/>
      <c r="R52" s="314"/>
      <c r="S52" s="1239"/>
      <c r="T52" s="1242" t="s">
        <v>188</v>
      </c>
      <c r="U52" s="1241"/>
      <c r="V52" s="1241"/>
      <c r="W52" s="1241"/>
      <c r="X52" s="1241"/>
      <c r="Y52" s="1241"/>
      <c r="Z52" s="1241"/>
      <c r="AA52" s="1241"/>
      <c r="AB52" s="1241"/>
      <c r="AC52" s="1241"/>
      <c r="AD52" s="1241"/>
      <c r="AE52" s="1241"/>
      <c r="AF52" s="1241"/>
      <c r="AG52" s="1241"/>
      <c r="AH52" s="1241"/>
      <c r="AI52" s="1241"/>
      <c r="AJ52" s="1241"/>
      <c r="AK52" s="1241"/>
      <c r="AM52" s="434"/>
      <c r="AN52" s="434" t="str">
        <f t="shared" si="1"/>
        <v>Добавить территорию для дифференциации</v>
      </c>
      <c r="AO52" s="434"/>
      <c r="AP52" s="434"/>
      <c r="AQ52" s="445">
        <v>0</v>
      </c>
    </row>
    <row r="53" spans="1:43" s="2017" customFormat="1" ht="0" hidden="1" customHeight="1">
      <c r="A53" s="1231"/>
      <c r="B53" s="1231"/>
      <c r="C53" s="1231"/>
      <c r="D53" s="1231"/>
      <c r="E53" s="1260"/>
      <c r="F53" s="1231"/>
      <c r="G53" s="1231"/>
      <c r="H53" s="1231"/>
      <c r="I53" s="1231"/>
      <c r="J53" s="1231"/>
      <c r="K53" s="1231"/>
      <c r="L53" s="1375"/>
      <c r="M53" s="1238"/>
      <c r="N53" s="1238"/>
      <c r="P53" s="1233"/>
      <c r="Q53" s="1234"/>
      <c r="R53" s="1233"/>
      <c r="S53" s="1239"/>
      <c r="T53" s="1242" t="s">
        <v>189</v>
      </c>
      <c r="U53" s="1241"/>
      <c r="V53" s="1241"/>
      <c r="W53" s="1241"/>
      <c r="X53" s="1241"/>
      <c r="Y53" s="1241"/>
      <c r="Z53" s="1241"/>
      <c r="AA53" s="1241"/>
      <c r="AB53" s="1241"/>
      <c r="AC53" s="1241"/>
      <c r="AD53" s="1241"/>
      <c r="AE53" s="1241"/>
      <c r="AF53" s="1241"/>
      <c r="AG53" s="1241"/>
      <c r="AH53" s="1241"/>
      <c r="AI53" s="1241"/>
      <c r="AJ53" s="1241"/>
      <c r="AK53" s="1241"/>
      <c r="AM53" s="717"/>
      <c r="AN53" s="717" t="str">
        <f t="shared" si="1"/>
        <v>Добавить наименование тарифа</v>
      </c>
      <c r="AO53" s="717"/>
      <c r="AP53" s="717"/>
      <c r="AQ53" s="452">
        <v>0</v>
      </c>
    </row>
    <row r="54" spans="1:43" ht="11.5" customHeight="1">
      <c r="M54" s="1077"/>
      <c r="N54" s="1077"/>
      <c r="O54" s="471"/>
      <c r="P54" s="1072"/>
      <c r="Q54" s="1072"/>
      <c r="R54" s="1072"/>
      <c r="S54" s="1072"/>
      <c r="AL54" s="1072"/>
      <c r="AM54" s="1072"/>
      <c r="AN54" s="1072"/>
      <c r="AO54" s="1072"/>
      <c r="AP54" s="1072"/>
      <c r="AQ54" s="1072">
        <v>11</v>
      </c>
    </row>
    <row r="55" spans="1:43" ht="14.65" customHeight="1">
      <c r="O55" s="471"/>
      <c r="S55" s="1170"/>
      <c r="T55" s="3219"/>
      <c r="U55" s="3219"/>
      <c r="V55" s="3219"/>
      <c r="W55" s="3219"/>
      <c r="X55" s="3219"/>
      <c r="Y55" s="3219"/>
      <c r="Z55" s="3219"/>
      <c r="AA55" s="3219"/>
      <c r="AB55" s="3219"/>
      <c r="AC55" s="3219"/>
      <c r="AD55" s="3219"/>
      <c r="AE55" s="3219"/>
      <c r="AF55" s="3219"/>
      <c r="AG55" s="3219"/>
      <c r="AH55" s="3219"/>
      <c r="AI55" s="3219"/>
      <c r="AJ55" s="3219"/>
      <c r="AK55" s="3219"/>
      <c r="AQ55" s="1072">
        <v>14</v>
      </c>
    </row>
    <row r="56" spans="1:43" ht="14.65" customHeight="1">
      <c r="O56" s="471"/>
      <c r="AQ56" s="1072">
        <v>14</v>
      </c>
    </row>
    <row r="57" spans="1:43" ht="14.65" customHeight="1">
      <c r="O57" s="471"/>
      <c r="S57" s="1170"/>
      <c r="T57" s="3219"/>
      <c r="U57" s="3219"/>
      <c r="V57" s="3219"/>
      <c r="W57" s="3219"/>
      <c r="X57" s="3219"/>
      <c r="Y57" s="3219"/>
      <c r="Z57" s="3219"/>
      <c r="AA57" s="3219"/>
      <c r="AB57" s="3219"/>
      <c r="AC57" s="3219"/>
      <c r="AD57" s="3219"/>
      <c r="AE57" s="3219"/>
      <c r="AF57" s="3219"/>
      <c r="AG57" s="3219"/>
      <c r="AH57" s="3219"/>
      <c r="AI57" s="3219"/>
      <c r="AJ57" s="3219"/>
      <c r="AK57" s="3219"/>
      <c r="AQ57" s="1072">
        <v>14</v>
      </c>
    </row>
    <row r="58" spans="1:43" ht="22.5" hidden="1" customHeight="1">
      <c r="A58" s="1077" t="s">
        <v>83</v>
      </c>
      <c r="B58" s="1077">
        <v>0</v>
      </c>
      <c r="C58" s="1077">
        <v>0</v>
      </c>
      <c r="D58" s="1077">
        <v>0</v>
      </c>
      <c r="E58" s="1077">
        <v>0</v>
      </c>
      <c r="F58" s="1077">
        <v>0</v>
      </c>
      <c r="G58" s="1077">
        <v>0</v>
      </c>
      <c r="H58" s="1077">
        <v>0</v>
      </c>
      <c r="I58" s="1077">
        <v>0</v>
      </c>
      <c r="J58" s="1077">
        <v>0</v>
      </c>
      <c r="K58" s="1077">
        <v>0</v>
      </c>
      <c r="L58" s="1364">
        <v>0</v>
      </c>
      <c r="M58" s="1279">
        <v>0</v>
      </c>
      <c r="N58" s="1279">
        <v>0</v>
      </c>
      <c r="O58" s="1279">
        <v>0</v>
      </c>
      <c r="P58" s="1363">
        <v>3</v>
      </c>
      <c r="Q58" s="279">
        <v>3</v>
      </c>
      <c r="R58" s="279">
        <v>3</v>
      </c>
      <c r="S58" s="515">
        <v>12</v>
      </c>
      <c r="T58" s="1072">
        <v>35</v>
      </c>
      <c r="U58" s="1072">
        <v>0</v>
      </c>
      <c r="V58" s="1072">
        <v>0</v>
      </c>
      <c r="W58" s="1072">
        <v>0</v>
      </c>
      <c r="X58" s="1072">
        <v>0</v>
      </c>
      <c r="Y58" s="1072">
        <v>0</v>
      </c>
      <c r="Z58" s="1072">
        <v>0</v>
      </c>
      <c r="AA58" s="1072">
        <v>0</v>
      </c>
      <c r="AB58" s="1072">
        <v>0</v>
      </c>
      <c r="AC58" s="1072">
        <v>24</v>
      </c>
      <c r="AD58" s="1072">
        <v>24</v>
      </c>
      <c r="AE58" s="1072">
        <v>24</v>
      </c>
      <c r="AF58" s="1072">
        <v>11</v>
      </c>
      <c r="AG58" s="1072">
        <v>3</v>
      </c>
      <c r="AH58" s="1072">
        <v>11</v>
      </c>
      <c r="AI58" s="1072">
        <v>0</v>
      </c>
      <c r="AJ58" s="1072">
        <v>4</v>
      </c>
      <c r="AK58" s="1072">
        <v>115</v>
      </c>
      <c r="AL58" s="445">
        <v>10</v>
      </c>
      <c r="AM58" s="445">
        <v>10</v>
      </c>
      <c r="AN58" s="445">
        <v>10</v>
      </c>
      <c r="AO58" s="445">
        <v>10</v>
      </c>
      <c r="AP58" s="445">
        <v>10</v>
      </c>
      <c r="AQ58" s="1072">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600-000000000000}">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600-000001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xr:uid="{00000000-0002-0000-16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xr:uid="{00000000-0002-0000-1600-000003000000}"/>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600-000004000000}">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xr:uid="{00000000-0002-0000-1600-000005000000}">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600-000006000000}">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xr:uid="{00000000-0002-0000-16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A7FA67-0E87-0B71-47D5-05A4AB2EDC99}">
  <sheetPr>
    <tabColor theme="6" tint="0.39997558519241921"/>
  </sheetPr>
  <dimension ref="A1:AQ58"/>
  <sheetViews>
    <sheetView showGridLines="0" topLeftCell="P23" zoomScale="90" workbookViewId="0"/>
  </sheetViews>
  <sheetFormatPr defaultColWidth="10.59765625" defaultRowHeight="14.25" customHeight="1"/>
  <cols>
    <col min="1" max="1" width="10.59765625" style="2016" hidden="1"/>
    <col min="2" max="2" width="11" style="2016" hidden="1" customWidth="1"/>
    <col min="3" max="3" width="10.59765625" style="2016" hidden="1"/>
    <col min="4" max="4" width="11.796875" style="2016" hidden="1" customWidth="1"/>
    <col min="5" max="5" width="10" style="2016" hidden="1" customWidth="1"/>
    <col min="6" max="6" width="8.69921875" style="2016" hidden="1" customWidth="1"/>
    <col min="7" max="7" width="7.59765625" style="2016" hidden="1" customWidth="1"/>
    <col min="8" max="8" width="11.3984375" style="2016" hidden="1" customWidth="1"/>
    <col min="9" max="9" width="14.09765625" style="2016" hidden="1" customWidth="1"/>
    <col min="10" max="10" width="9.796875" style="2016" hidden="1" customWidth="1"/>
    <col min="11" max="11" width="14.69921875" style="2016" hidden="1" customWidth="1"/>
    <col min="12" max="12" width="19.09765625" style="2216" hidden="1" customWidth="1"/>
    <col min="13" max="14" width="12.296875" style="2006" hidden="1" customWidth="1"/>
    <col min="15" max="15" width="23.3984375" style="2006" hidden="1" customWidth="1"/>
    <col min="16" max="16" width="3" style="2217" customWidth="1"/>
    <col min="17" max="18" width="3" style="2215" customWidth="1"/>
    <col min="19" max="19" width="12" style="2218" customWidth="1"/>
    <col min="20" max="20" width="35" style="2004" customWidth="1"/>
    <col min="21" max="21" width="9.765625E-2" style="2004" customWidth="1"/>
    <col min="22" max="24" width="24.69921875" style="2004" hidden="1" customWidth="1"/>
    <col min="25" max="25" width="11.69921875" style="2004" hidden="1" customWidth="1"/>
    <col min="26" max="26" width="3.69921875" style="2004" hidden="1" customWidth="1"/>
    <col min="27" max="27" width="11.69921875" style="2004" hidden="1" customWidth="1"/>
    <col min="28" max="28" width="8.59765625" style="2004" hidden="1" customWidth="1"/>
    <col min="29" max="29" width="24.69921875" style="2004" customWidth="1"/>
    <col min="30" max="31" width="24" style="2004" customWidth="1"/>
    <col min="32" max="32" width="11" style="2004" customWidth="1"/>
    <col min="33" max="33" width="3.69921875" style="2004" customWidth="1"/>
    <col min="34" max="34" width="11" style="2004" customWidth="1"/>
    <col min="35" max="35" width="8.59765625" style="2004" hidden="1" customWidth="1"/>
    <col min="36" max="36" width="4" style="2004" customWidth="1"/>
    <col min="37" max="37" width="115" style="2004" customWidth="1"/>
    <col min="38" max="42" width="10" style="2017" customWidth="1"/>
    <col min="43" max="43" width="10.59765625" style="2004" hidden="1"/>
  </cols>
  <sheetData>
    <row r="1" spans="1:43" ht="22.5" hidden="1" customHeight="1">
      <c r="X1" s="262"/>
      <c r="Y1" s="262"/>
      <c r="AE1" s="262"/>
      <c r="AF1" s="262"/>
      <c r="AQ1" s="1072" t="s">
        <v>14</v>
      </c>
    </row>
    <row r="2" spans="1:43" ht="23.25" hidden="1" customHeight="1">
      <c r="A2" s="1280"/>
      <c r="B2" s="1280"/>
      <c r="C2" s="1280"/>
      <c r="D2" s="1280"/>
      <c r="E2" s="3199">
        <v>1</v>
      </c>
      <c r="F2" s="1280"/>
      <c r="G2" s="1280"/>
      <c r="H2" s="1280"/>
      <c r="I2" s="1280"/>
      <c r="J2" s="1280"/>
      <c r="K2" s="1280"/>
      <c r="L2" s="1281"/>
      <c r="M2" s="1282"/>
      <c r="N2" s="1282"/>
      <c r="O2" s="1282"/>
      <c r="P2" s="295"/>
      <c r="Q2" s="294"/>
      <c r="R2" s="289"/>
      <c r="S2" s="1374" t="e">
        <f>INDEX(PT_DIFFERENTIATION_NUM_NTAR,MATCH(A2,PT_DIFFERENTIATION_NTAR_ID,0))</f>
        <v>#N/A</v>
      </c>
      <c r="T2" s="233" t="s">
        <v>137</v>
      </c>
      <c r="U2" s="235"/>
      <c r="V2" s="3185"/>
      <c r="W2" s="3186"/>
      <c r="X2" s="3186"/>
      <c r="Y2" s="3186"/>
      <c r="Z2" s="3186"/>
      <c r="AA2" s="3186"/>
      <c r="AB2" s="3187"/>
      <c r="AC2" s="3185" t="e">
        <f>INDEX(PT_DIFFERENTIATION_NTAR,MATCH(A2,PT_DIFFERENTIATION_NTAR_ID,0))</f>
        <v>#N/A</v>
      </c>
      <c r="AD2" s="3186"/>
      <c r="AE2" s="3186"/>
      <c r="AF2" s="3186"/>
      <c r="AG2" s="3186"/>
      <c r="AH2" s="3186"/>
      <c r="AI2" s="3186"/>
      <c r="AJ2" s="3187"/>
      <c r="AK2"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4"/>
      <c r="AN2" s="434" t="str">
        <f t="shared" ref="AN2:AN13" si="0">IF(T2="","",T2)</f>
        <v>Наименование тарифа</v>
      </c>
      <c r="AO2" s="434"/>
      <c r="AP2" s="434"/>
      <c r="AQ2" s="1072">
        <v>0</v>
      </c>
    </row>
    <row r="3" spans="1:43" ht="23.25" hidden="1" customHeight="1">
      <c r="A3" s="1280"/>
      <c r="B3" s="1280"/>
      <c r="C3" s="1280"/>
      <c r="D3" s="1280"/>
      <c r="E3" s="3200"/>
      <c r="F3" s="3199">
        <v>1</v>
      </c>
      <c r="G3" s="1280"/>
      <c r="H3" s="1280"/>
      <c r="I3" s="1280"/>
      <c r="J3" s="1280"/>
      <c r="K3" s="1280"/>
      <c r="L3" s="1281"/>
      <c r="M3" s="1282"/>
      <c r="N3" s="1282"/>
      <c r="O3" s="1282"/>
      <c r="P3" s="1370"/>
      <c r="Q3" s="286"/>
      <c r="R3" s="287"/>
      <c r="S3" s="1374" t="e">
        <f>INDEX(PT_DIFFERENTIATION_NUM_TER,MATCH(B3,PT_DIFFERENTIATION_TER_ID,0))</f>
        <v>#N/A</v>
      </c>
      <c r="T3" s="243" t="s">
        <v>432</v>
      </c>
      <c r="U3" s="235"/>
      <c r="V3" s="3185"/>
      <c r="W3" s="3186"/>
      <c r="X3" s="3186"/>
      <c r="Y3" s="3186"/>
      <c r="Z3" s="3186"/>
      <c r="AA3" s="3186"/>
      <c r="AB3" s="3187"/>
      <c r="AC3" s="3185" t="e">
        <f>INDEX(PT_DIFFERENTIATION_TER,MATCH(B3,PT_DIFFERENTIATION_TER_ID,0))</f>
        <v>#N/A</v>
      </c>
      <c r="AD3" s="3186"/>
      <c r="AE3" s="3186"/>
      <c r="AF3" s="3186"/>
      <c r="AG3" s="3186"/>
      <c r="AH3" s="3186"/>
      <c r="AI3" s="3186"/>
      <c r="AJ3" s="3187"/>
      <c r="AK3" s="1175" t="s">
        <v>433</v>
      </c>
      <c r="AM3" s="434"/>
      <c r="AN3" s="434" t="str">
        <f t="shared" si="0"/>
        <v>Территория действия тарифа</v>
      </c>
      <c r="AO3" s="434"/>
      <c r="AP3" s="434"/>
      <c r="AQ3" s="1072">
        <v>0</v>
      </c>
    </row>
    <row r="4" spans="1:43" ht="23.25" hidden="1" customHeight="1">
      <c r="A4" s="1280"/>
      <c r="B4" s="1280"/>
      <c r="C4" s="1280"/>
      <c r="D4" s="1280"/>
      <c r="E4" s="3200"/>
      <c r="F4" s="3200"/>
      <c r="G4" s="3199">
        <v>1</v>
      </c>
      <c r="H4" s="1280"/>
      <c r="I4" s="1280"/>
      <c r="J4" s="1280"/>
      <c r="K4" s="1280"/>
      <c r="L4" s="1281"/>
      <c r="M4" s="1282"/>
      <c r="N4" s="1282"/>
      <c r="O4" s="1282"/>
      <c r="P4" s="288"/>
      <c r="Q4" s="286"/>
      <c r="R4" s="287"/>
      <c r="S4" s="1374" t="e">
        <f>INDEX(PT_DIFFERENTIATION_NUM_CS,MATCH(C4,PT_DIFFERENTIATION_CS_ID,0))</f>
        <v>#N/A</v>
      </c>
      <c r="T4" s="244" t="s">
        <v>514</v>
      </c>
      <c r="U4" s="235"/>
      <c r="V4" s="3185"/>
      <c r="W4" s="3186"/>
      <c r="X4" s="3186"/>
      <c r="Y4" s="3186"/>
      <c r="Z4" s="3186"/>
      <c r="AA4" s="3186"/>
      <c r="AB4" s="3187"/>
      <c r="AC4" s="3185" t="e">
        <f>INDEX(PT_DIFFERENTIATION_CS,MATCH(C4,PT_DIFFERENTIATION_CS_ID,0))</f>
        <v>#N/A</v>
      </c>
      <c r="AD4" s="3186"/>
      <c r="AE4" s="3186"/>
      <c r="AF4" s="3186"/>
      <c r="AG4" s="3186"/>
      <c r="AH4" s="3186"/>
      <c r="AI4" s="3186"/>
      <c r="AJ4" s="3187"/>
      <c r="AK4" s="1175" t="s">
        <v>515</v>
      </c>
      <c r="AM4" s="434"/>
      <c r="AN4" s="434" t="str">
        <f t="shared" si="0"/>
        <v>Наименование централизованной системы холодного водоснабжения</v>
      </c>
      <c r="AO4" s="434"/>
      <c r="AP4" s="434"/>
      <c r="AQ4" s="1072">
        <v>0</v>
      </c>
    </row>
    <row r="5" spans="1:43" ht="23.25" hidden="1" customHeight="1">
      <c r="A5" s="1280"/>
      <c r="B5" s="1280"/>
      <c r="C5" s="1280"/>
      <c r="D5" s="1280"/>
      <c r="E5" s="3200"/>
      <c r="F5" s="3200"/>
      <c r="G5" s="3200"/>
      <c r="H5" s="3200"/>
      <c r="I5" s="3197" t="e">
        <f>S4&amp;".1"</f>
        <v>#N/A</v>
      </c>
      <c r="J5" s="1280"/>
      <c r="K5" s="1280"/>
      <c r="L5" s="1281"/>
      <c r="P5" s="3198">
        <v>1</v>
      </c>
      <c r="Q5" s="1367"/>
      <c r="R5" s="290"/>
      <c r="S5" s="1374" t="e">
        <f>$I5</f>
        <v>#N/A</v>
      </c>
      <c r="T5" s="220" t="s">
        <v>516</v>
      </c>
      <c r="U5" s="235"/>
      <c r="V5" s="3266"/>
      <c r="W5" s="3267"/>
      <c r="X5" s="3267"/>
      <c r="Y5" s="3267"/>
      <c r="Z5" s="3267"/>
      <c r="AA5" s="3267"/>
      <c r="AB5" s="3268"/>
      <c r="AC5" s="3269"/>
      <c r="AD5" s="3270"/>
      <c r="AE5" s="3270"/>
      <c r="AF5" s="3270"/>
      <c r="AG5" s="3270"/>
      <c r="AH5" s="3270"/>
      <c r="AI5" s="3270"/>
      <c r="AJ5" s="3271"/>
      <c r="AK5" s="1175" t="s">
        <v>517</v>
      </c>
      <c r="AM5" s="434"/>
      <c r="AN5" s="434" t="str">
        <f t="shared" si="0"/>
        <v>Наименование признака дифференциации</v>
      </c>
      <c r="AO5" s="434"/>
      <c r="AP5" s="434"/>
      <c r="AQ5" s="1072">
        <v>0</v>
      </c>
    </row>
    <row r="6" spans="1:43" ht="23.25" hidden="1" customHeight="1">
      <c r="A6" s="1280"/>
      <c r="B6" s="1280"/>
      <c r="C6" s="1280"/>
      <c r="D6" s="1280"/>
      <c r="E6" s="3200"/>
      <c r="F6" s="3200"/>
      <c r="G6" s="3200"/>
      <c r="H6" s="3200"/>
      <c r="I6" s="3220"/>
      <c r="J6" s="3197" t="e">
        <f>I5&amp;".1"</f>
        <v>#N/A</v>
      </c>
      <c r="K6" s="1280"/>
      <c r="L6" s="1281" t="s">
        <v>441</v>
      </c>
      <c r="P6" s="3198"/>
      <c r="Q6" s="3198">
        <v>1</v>
      </c>
      <c r="R6" s="291"/>
      <c r="S6" s="1374" t="e">
        <f>$J6</f>
        <v>#N/A</v>
      </c>
      <c r="T6" s="221" t="s">
        <v>442</v>
      </c>
      <c r="U6" s="235"/>
      <c r="V6" s="3188"/>
      <c r="W6" s="3189"/>
      <c r="X6" s="3189"/>
      <c r="Y6" s="3189"/>
      <c r="Z6" s="3189"/>
      <c r="AA6" s="3189"/>
      <c r="AB6" s="3190"/>
      <c r="AC6" s="3188"/>
      <c r="AD6" s="3189"/>
      <c r="AE6" s="3189"/>
      <c r="AF6" s="3189"/>
      <c r="AG6" s="3189"/>
      <c r="AH6" s="3189"/>
      <c r="AI6" s="3189"/>
      <c r="AJ6" s="3190"/>
      <c r="AK6" s="1224" t="s">
        <v>518</v>
      </c>
      <c r="AM6" s="434"/>
      <c r="AN6" s="434" t="str">
        <f t="shared" si="0"/>
        <v>Группа потребителей</v>
      </c>
      <c r="AO6" s="434"/>
      <c r="AP6" s="434"/>
      <c r="AQ6" s="1072">
        <v>0</v>
      </c>
    </row>
    <row r="7" spans="1:43" ht="23.25" hidden="1" customHeight="1">
      <c r="A7" s="1280"/>
      <c r="B7" s="1280"/>
      <c r="C7" s="1280"/>
      <c r="D7" s="1280"/>
      <c r="E7" s="3200"/>
      <c r="F7" s="3200"/>
      <c r="G7" s="3200"/>
      <c r="H7" s="3200"/>
      <c r="I7" s="3220"/>
      <c r="J7" s="3220"/>
      <c r="K7" s="3197" t="e">
        <f>J6&amp;".1"</f>
        <v>#N/A</v>
      </c>
      <c r="L7" s="1281"/>
      <c r="P7" s="3198"/>
      <c r="Q7" s="3198"/>
      <c r="R7" s="291">
        <v>1</v>
      </c>
      <c r="S7" s="1374" t="e">
        <f>$K7</f>
        <v>#N/A</v>
      </c>
      <c r="T7" s="1354"/>
      <c r="U7" s="235"/>
      <c r="V7" s="685"/>
      <c r="W7" s="685"/>
      <c r="X7" s="1174"/>
      <c r="Y7" s="3202"/>
      <c r="Z7" s="3048" t="s">
        <v>67</v>
      </c>
      <c r="AA7" s="3202"/>
      <c r="AB7" s="3048" t="s">
        <v>67</v>
      </c>
      <c r="AC7" s="685"/>
      <c r="AD7" s="685"/>
      <c r="AE7" s="1174"/>
      <c r="AF7" s="3202"/>
      <c r="AG7" s="3048" t="s">
        <v>67</v>
      </c>
      <c r="AH7" s="3221"/>
      <c r="AI7" s="3048" t="s">
        <v>67</v>
      </c>
      <c r="AJ7" s="1355"/>
      <c r="AK7" s="3265"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5" t="e">
        <f ca="1">STRCHECKDATE(V8:AJ8)</f>
        <v>#NAME?</v>
      </c>
      <c r="AM7" s="434"/>
      <c r="AN7" s="434" t="str">
        <f t="shared" si="0"/>
        <v/>
      </c>
      <c r="AO7" s="434"/>
      <c r="AP7" s="434"/>
      <c r="AQ7" s="1072">
        <v>0</v>
      </c>
    </row>
    <row r="8" spans="1:43" ht="14.25" hidden="1" customHeight="1">
      <c r="A8" s="1280"/>
      <c r="B8" s="1280"/>
      <c r="C8" s="1280"/>
      <c r="D8" s="1280"/>
      <c r="E8" s="3200"/>
      <c r="F8" s="3200"/>
      <c r="G8" s="3200"/>
      <c r="H8" s="3200"/>
      <c r="I8" s="3220"/>
      <c r="J8" s="3220"/>
      <c r="K8" s="3197"/>
      <c r="L8" s="1281"/>
      <c r="P8" s="3198"/>
      <c r="Q8" s="3198"/>
      <c r="R8" s="291"/>
      <c r="S8" s="1373"/>
      <c r="T8" s="235"/>
      <c r="U8" s="235"/>
      <c r="V8" s="260"/>
      <c r="W8" s="260"/>
      <c r="X8" s="263" t="str">
        <f>Y7&amp;"-"&amp;AA7</f>
        <v>-</v>
      </c>
      <c r="Y8" s="3203"/>
      <c r="Z8" s="3048"/>
      <c r="AA8" s="3203"/>
      <c r="AB8" s="3048"/>
      <c r="AC8" s="260"/>
      <c r="AD8" s="260"/>
      <c r="AE8" s="263" t="str">
        <f>AF7&amp;"-"&amp;AH7</f>
        <v>-</v>
      </c>
      <c r="AF8" s="3203"/>
      <c r="AG8" s="3048"/>
      <c r="AH8" s="3222"/>
      <c r="AI8" s="3048"/>
      <c r="AJ8" s="1356"/>
      <c r="AK8" s="3265"/>
      <c r="AM8" s="434"/>
      <c r="AN8" s="434" t="str">
        <f t="shared" si="0"/>
        <v/>
      </c>
      <c r="AO8" s="434"/>
      <c r="AP8" s="434"/>
      <c r="AQ8" s="1072">
        <v>0</v>
      </c>
    </row>
    <row r="9" spans="1:43" ht="21" hidden="1" customHeight="1">
      <c r="A9" s="1280"/>
      <c r="B9" s="1280"/>
      <c r="C9" s="1280"/>
      <c r="D9" s="1280"/>
      <c r="E9" s="3200"/>
      <c r="F9" s="3200"/>
      <c r="G9" s="3200"/>
      <c r="H9" s="3200"/>
      <c r="I9" s="3220"/>
      <c r="J9" s="3197"/>
      <c r="K9" s="1280"/>
      <c r="L9" s="1281"/>
      <c r="P9" s="3198"/>
      <c r="Q9" s="3198"/>
      <c r="R9" s="290"/>
      <c r="S9" s="1195"/>
      <c r="T9" s="222" t="s">
        <v>519</v>
      </c>
      <c r="U9" s="301"/>
      <c r="V9" s="301"/>
      <c r="W9" s="301"/>
      <c r="X9" s="301"/>
      <c r="Y9" s="301"/>
      <c r="Z9" s="301"/>
      <c r="AA9" s="301"/>
      <c r="AB9" s="301"/>
      <c r="AC9" s="301"/>
      <c r="AD9" s="301"/>
      <c r="AE9" s="301"/>
      <c r="AF9" s="301"/>
      <c r="AG9" s="301"/>
      <c r="AH9" s="301"/>
      <c r="AI9" s="301"/>
      <c r="AJ9" s="301"/>
      <c r="AK9" s="1175" t="s">
        <v>520</v>
      </c>
      <c r="AM9" s="434"/>
      <c r="AN9" s="434" t="str">
        <f t="shared" si="0"/>
        <v>Добавить значение признака дифференциации</v>
      </c>
      <c r="AO9" s="434"/>
      <c r="AP9" s="434"/>
      <c r="AQ9" s="1072">
        <v>0</v>
      </c>
    </row>
    <row r="10" spans="1:43" ht="21" hidden="1" customHeight="1">
      <c r="A10" s="1280"/>
      <c r="B10" s="1280"/>
      <c r="C10" s="1280"/>
      <c r="D10" s="1280"/>
      <c r="E10" s="3200"/>
      <c r="F10" s="3200"/>
      <c r="G10" s="3200"/>
      <c r="H10" s="3200"/>
      <c r="I10" s="3197"/>
      <c r="J10" s="1280"/>
      <c r="K10" s="1280"/>
      <c r="L10" s="1281"/>
      <c r="P10" s="3198"/>
      <c r="Q10" s="1367"/>
      <c r="R10" s="290"/>
      <c r="S10" s="1195"/>
      <c r="T10" s="299" t="s">
        <v>447</v>
      </c>
      <c r="U10" s="301"/>
      <c r="V10" s="301"/>
      <c r="W10" s="301"/>
      <c r="X10" s="301"/>
      <c r="Y10" s="301"/>
      <c r="Z10" s="301"/>
      <c r="AA10" s="301"/>
      <c r="AB10" s="300"/>
      <c r="AC10" s="301"/>
      <c r="AD10" s="301"/>
      <c r="AE10" s="301"/>
      <c r="AF10" s="301"/>
      <c r="AG10" s="301"/>
      <c r="AH10" s="301"/>
      <c r="AI10" s="300"/>
      <c r="AJ10" s="301"/>
      <c r="AK10" s="1357"/>
      <c r="AM10" s="434"/>
      <c r="AN10" s="434" t="str">
        <f t="shared" si="0"/>
        <v>Добавить группу потребителей</v>
      </c>
      <c r="AO10" s="434"/>
      <c r="AP10" s="434"/>
      <c r="AQ10" s="1072">
        <v>0</v>
      </c>
    </row>
    <row r="11" spans="1:43" ht="21" hidden="1" customHeight="1">
      <c r="A11" s="1280"/>
      <c r="B11" s="1280"/>
      <c r="C11" s="1280"/>
      <c r="D11" s="1280"/>
      <c r="E11" s="3200"/>
      <c r="F11" s="3200"/>
      <c r="G11" s="3200"/>
      <c r="H11" s="3199"/>
      <c r="I11" s="1280"/>
      <c r="J11" s="1280"/>
      <c r="K11" s="1280"/>
      <c r="L11" s="1281"/>
      <c r="M11" s="1282"/>
      <c r="N11" s="1282"/>
      <c r="O11" s="471"/>
      <c r="P11" s="294"/>
      <c r="Q11" s="309"/>
      <c r="R11" s="289"/>
      <c r="S11" s="1195"/>
      <c r="T11" s="306" t="s">
        <v>521</v>
      </c>
      <c r="U11" s="301"/>
      <c r="V11" s="301"/>
      <c r="W11" s="301"/>
      <c r="X11" s="301"/>
      <c r="Y11" s="301"/>
      <c r="Z11" s="301"/>
      <c r="AA11" s="301"/>
      <c r="AB11" s="300"/>
      <c r="AC11" s="301"/>
      <c r="AD11" s="301"/>
      <c r="AE11" s="301"/>
      <c r="AF11" s="301"/>
      <c r="AG11" s="301"/>
      <c r="AH11" s="301"/>
      <c r="AI11" s="300"/>
      <c r="AJ11" s="301"/>
      <c r="AK11" s="238"/>
      <c r="AM11" s="434"/>
      <c r="AN11" s="434" t="str">
        <f t="shared" si="0"/>
        <v>Добавить наименование признака дифференциации</v>
      </c>
      <c r="AO11" s="434"/>
      <c r="AP11" s="434"/>
      <c r="AQ11" s="1072">
        <v>0</v>
      </c>
    </row>
    <row r="12" spans="1:43" s="2017" customFormat="1" ht="14.25" hidden="1" customHeight="1">
      <c r="A12" s="1260"/>
      <c r="B12" s="1260"/>
      <c r="C12" s="1231"/>
      <c r="D12" s="1231"/>
      <c r="E12" s="3200"/>
      <c r="F12" s="3199"/>
      <c r="G12" s="1231"/>
      <c r="H12" s="1231"/>
      <c r="I12" s="1231"/>
      <c r="J12" s="1231"/>
      <c r="K12" s="1231"/>
      <c r="L12" s="1375"/>
      <c r="M12" s="1238"/>
      <c r="N12" s="1238"/>
      <c r="P12" s="1233"/>
      <c r="Q12" s="1234"/>
      <c r="R12" s="1233"/>
      <c r="S12" s="1239"/>
      <c r="T12" s="1242" t="s">
        <v>181</v>
      </c>
      <c r="U12" s="1241"/>
      <c r="V12" s="1241"/>
      <c r="W12" s="1241"/>
      <c r="X12" s="1241"/>
      <c r="Y12" s="1241"/>
      <c r="Z12" s="1241"/>
      <c r="AA12" s="1241"/>
      <c r="AB12" s="1241"/>
      <c r="AC12" s="1241"/>
      <c r="AD12" s="1241"/>
      <c r="AE12" s="1241"/>
      <c r="AF12" s="1241"/>
      <c r="AG12" s="1241"/>
      <c r="AH12" s="1241"/>
      <c r="AI12" s="1241"/>
      <c r="AJ12" s="1241"/>
      <c r="AK12" s="1241"/>
      <c r="AM12" s="717"/>
      <c r="AN12" s="717" t="str">
        <f t="shared" si="0"/>
        <v>Добавить централизованную систему для дифференциации</v>
      </c>
      <c r="AO12" s="717"/>
      <c r="AP12" s="717"/>
      <c r="AQ12" s="452">
        <v>0</v>
      </c>
    </row>
    <row r="13" spans="1:43" s="2017" customFormat="1" ht="14.25" hidden="1" customHeight="1">
      <c r="A13" s="1260"/>
      <c r="B13" s="1260"/>
      <c r="C13" s="1260"/>
      <c r="D13" s="1260"/>
      <c r="E13" s="3199"/>
      <c r="F13" s="1260"/>
      <c r="G13" s="1260"/>
      <c r="H13" s="1260"/>
      <c r="I13" s="1260"/>
      <c r="J13" s="1260"/>
      <c r="K13" s="1260"/>
      <c r="L13" s="1263"/>
      <c r="M13" s="1238"/>
      <c r="N13" s="1238"/>
      <c r="O13" s="452"/>
      <c r="P13" s="314"/>
      <c r="Q13" s="1261"/>
      <c r="R13" s="314"/>
      <c r="S13" s="1239"/>
      <c r="T13" s="1242" t="s">
        <v>188</v>
      </c>
      <c r="U13" s="1241"/>
      <c r="V13" s="1241"/>
      <c r="W13" s="1241"/>
      <c r="X13" s="1241"/>
      <c r="Y13" s="1241"/>
      <c r="Z13" s="1241"/>
      <c r="AA13" s="1241"/>
      <c r="AB13" s="1241"/>
      <c r="AC13" s="1241"/>
      <c r="AD13" s="1241"/>
      <c r="AE13" s="1241"/>
      <c r="AF13" s="1241"/>
      <c r="AG13" s="1241"/>
      <c r="AH13" s="1241"/>
      <c r="AI13" s="1241"/>
      <c r="AJ13" s="1241"/>
      <c r="AK13" s="1241"/>
      <c r="AM13" s="434"/>
      <c r="AN13" s="434" t="str">
        <f t="shared" si="0"/>
        <v>Добавить территорию для дифференциации</v>
      </c>
      <c r="AO13" s="434"/>
      <c r="AP13" s="434"/>
      <c r="AQ13" s="445">
        <v>0</v>
      </c>
    </row>
    <row r="14" spans="1:43" ht="14.25" hidden="1" customHeight="1">
      <c r="AB14" s="262"/>
      <c r="AI14" s="262"/>
      <c r="AQ14" s="1072">
        <v>0</v>
      </c>
    </row>
    <row r="15" spans="1:43" ht="14.25" hidden="1" customHeight="1">
      <c r="AC15" s="1277"/>
      <c r="AD15" s="1277"/>
      <c r="AE15" s="1278"/>
      <c r="AF15" s="3204"/>
      <c r="AG15" s="3205" t="s">
        <v>67</v>
      </c>
      <c r="AH15" s="3204"/>
      <c r="AI15" s="3205" t="s">
        <v>67</v>
      </c>
      <c r="AQ15" s="1072">
        <v>0</v>
      </c>
    </row>
    <row r="16" spans="1:43" ht="14.25" hidden="1" customHeight="1">
      <c r="AC16" s="1277"/>
      <c r="AD16" s="1277"/>
      <c r="AE16" s="263" t="str">
        <f>AF15&amp;"-"&amp;AH15</f>
        <v>-</v>
      </c>
      <c r="AF16" s="3205"/>
      <c r="AG16" s="3205"/>
      <c r="AH16" s="3205"/>
      <c r="AI16" s="3205"/>
      <c r="AQ16" s="1072">
        <v>0</v>
      </c>
    </row>
    <row r="17" spans="1:43" ht="14.25" hidden="1" customHeight="1">
      <c r="AI17" s="262"/>
      <c r="AQ17" s="1072">
        <v>0</v>
      </c>
    </row>
    <row r="18" spans="1:43" s="2016" customFormat="1" ht="22.5" hidden="1" customHeight="1">
      <c r="L18" s="1364"/>
      <c r="M18" s="1279"/>
      <c r="N18" s="1279"/>
      <c r="O18" s="1284" t="s">
        <v>449</v>
      </c>
      <c r="P18" s="1279"/>
      <c r="Q18" s="1288"/>
      <c r="R18" s="1288"/>
      <c r="S18" s="663"/>
      <c r="Y18" s="1284"/>
      <c r="AA18" s="1284"/>
      <c r="AB18" s="1283"/>
      <c r="AF18" s="1284"/>
      <c r="AH18" s="1284"/>
      <c r="AI18" s="1283"/>
      <c r="AL18" s="445"/>
      <c r="AM18" s="445"/>
      <c r="AN18" s="445"/>
      <c r="AO18" s="445"/>
      <c r="AP18" s="445"/>
      <c r="AQ18" s="1077">
        <v>0</v>
      </c>
    </row>
    <row r="19" spans="1:43" s="2016" customFormat="1" ht="14.25" hidden="1" customHeight="1">
      <c r="L19" s="1364"/>
      <c r="M19" s="1279"/>
      <c r="N19" s="1279"/>
      <c r="O19" s="1279"/>
      <c r="P19" s="1279"/>
      <c r="Q19" s="1288"/>
      <c r="R19" s="1288"/>
      <c r="S19" s="663"/>
      <c r="AB19" s="1283"/>
      <c r="AI19" s="1283"/>
      <c r="AL19" s="445"/>
      <c r="AM19" s="445"/>
      <c r="AN19" s="445"/>
      <c r="AO19" s="445"/>
      <c r="AP19" s="445"/>
      <c r="AQ19" s="1077">
        <v>0</v>
      </c>
    </row>
    <row r="20" spans="1:43" s="2016" customFormat="1" ht="12" hidden="1" customHeight="1">
      <c r="L20" s="1364"/>
      <c r="M20" s="1279"/>
      <c r="N20" s="1279"/>
      <c r="O20" s="1281" t="s">
        <v>450</v>
      </c>
      <c r="P20" s="1279"/>
      <c r="Q20" s="1359"/>
      <c r="R20" s="1359"/>
      <c r="S20" s="663"/>
      <c r="T20" s="1077" t="s">
        <v>451</v>
      </c>
      <c r="Z20" s="121" t="s">
        <v>452</v>
      </c>
      <c r="AB20" s="121" t="s">
        <v>453</v>
      </c>
      <c r="AC20" s="1077" t="s">
        <v>451</v>
      </c>
      <c r="AG20" s="121" t="s">
        <v>454</v>
      </c>
      <c r="AI20" s="121" t="s">
        <v>453</v>
      </c>
      <c r="AQ20" s="1077">
        <v>0</v>
      </c>
    </row>
    <row r="21" spans="1:43" ht="14.25" hidden="1" customHeight="1">
      <c r="O21" s="1281"/>
      <c r="AQ21" s="1072">
        <v>0</v>
      </c>
    </row>
    <row r="22" spans="1:43" ht="14.25" hidden="1" customHeight="1">
      <c r="O22" s="1281"/>
      <c r="AQ22" s="1072">
        <v>0</v>
      </c>
    </row>
    <row r="23" spans="1:43" ht="14.65" customHeight="1">
      <c r="Q23" s="310"/>
      <c r="R23" s="310"/>
      <c r="S23" s="1192"/>
      <c r="T23" s="297"/>
      <c r="U23" s="297"/>
      <c r="V23" s="443"/>
      <c r="W23" s="443"/>
      <c r="X23" s="443"/>
      <c r="Y23" s="443"/>
      <c r="Z23" s="443"/>
      <c r="AA23" s="443"/>
      <c r="AB23" s="443"/>
      <c r="AC23" s="443"/>
      <c r="AD23" s="443"/>
      <c r="AE23" s="443"/>
      <c r="AF23" s="443"/>
      <c r="AG23" s="443"/>
      <c r="AH23" s="443"/>
      <c r="AI23" s="443"/>
      <c r="AQ23" s="1072">
        <v>14</v>
      </c>
    </row>
    <row r="24" spans="1:43" ht="14.65" customHeight="1">
      <c r="Q24" s="310"/>
      <c r="R24" s="310"/>
      <c r="S24" s="3183"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3183"/>
      <c r="U24" s="3183"/>
      <c r="V24" s="3183"/>
      <c r="W24" s="3183"/>
      <c r="X24" s="3183"/>
      <c r="Y24" s="3183"/>
      <c r="Z24" s="3183"/>
      <c r="AA24" s="3183"/>
      <c r="AB24" s="3183"/>
      <c r="AC24" s="3183"/>
      <c r="AD24" s="3183"/>
      <c r="AE24" s="3183"/>
      <c r="AF24" s="3183"/>
      <c r="AG24" s="3183"/>
      <c r="AH24" s="3183"/>
      <c r="AI24" s="1160"/>
      <c r="AQ24" s="1072">
        <v>14</v>
      </c>
    </row>
    <row r="25" spans="1:43" ht="14.65" customHeight="1">
      <c r="Q25" s="310"/>
      <c r="R25" s="310"/>
      <c r="S25" s="3131" t="str">
        <f>IF(org=0,"Не определено",org)</f>
        <v>ООО "РСО"</v>
      </c>
      <c r="T25" s="3131"/>
      <c r="U25" s="3131"/>
      <c r="V25" s="3131"/>
      <c r="W25" s="3131"/>
      <c r="X25" s="3131"/>
      <c r="Y25" s="3131"/>
      <c r="Z25" s="3131"/>
      <c r="AA25" s="3131"/>
      <c r="AB25" s="3131"/>
      <c r="AC25" s="3131"/>
      <c r="AD25" s="3131"/>
      <c r="AE25" s="3131"/>
      <c r="AF25" s="3131"/>
      <c r="AG25" s="3131"/>
      <c r="AH25" s="3131"/>
      <c r="AI25" s="1160"/>
      <c r="AQ25" s="1072">
        <v>14</v>
      </c>
    </row>
    <row r="26" spans="1:43" ht="14.25" hidden="1" customHeight="1">
      <c r="Q26" s="310"/>
      <c r="R26" s="310"/>
      <c r="S26" s="1192"/>
      <c r="T26" s="297"/>
      <c r="U26" s="297"/>
      <c r="V26" s="257"/>
      <c r="W26" s="257"/>
      <c r="X26" s="257"/>
      <c r="Y26" s="257"/>
      <c r="Z26" s="257"/>
      <c r="AA26" s="257"/>
      <c r="AB26" s="257"/>
      <c r="AC26" s="257"/>
      <c r="AD26" s="257"/>
      <c r="AE26" s="257"/>
      <c r="AF26" s="257"/>
      <c r="AG26" s="257"/>
      <c r="AH26" s="257"/>
      <c r="AI26" s="257"/>
      <c r="AJ26" s="443"/>
      <c r="AQ26" s="1072">
        <v>0</v>
      </c>
    </row>
    <row r="27" spans="1:43" s="2028" customFormat="1" ht="25.5" hidden="1" customHeight="1">
      <c r="A27" s="1285"/>
      <c r="B27" s="1285"/>
      <c r="C27" s="1285"/>
      <c r="D27" s="1285"/>
      <c r="E27" s="1285"/>
      <c r="F27" s="1285"/>
      <c r="G27" s="1285"/>
      <c r="H27" s="1285"/>
      <c r="I27" s="1285"/>
      <c r="J27" s="1285"/>
      <c r="K27" s="1285"/>
      <c r="L27" s="1286"/>
      <c r="M27" s="1285"/>
      <c r="N27" s="1285"/>
      <c r="O27" s="1285"/>
      <c r="S27" s="3191" t="s">
        <v>42</v>
      </c>
      <c r="T27" s="3191"/>
      <c r="U27" s="1289"/>
      <c r="V27" s="3192" t="str">
        <f>IF(TITLE_NAME_OR_PR_CHANGE="",IF(TITLE_NAME_OR_PR="","",TITLE_NAME_OR_PR),TITLE_NAME_OR_PR_CHANGE)</f>
        <v/>
      </c>
      <c r="W27" s="3192"/>
      <c r="X27" s="3192"/>
      <c r="Y27" s="3192"/>
      <c r="Z27" s="3192"/>
      <c r="AA27" s="3192"/>
      <c r="AB27" s="261"/>
      <c r="AC27" s="3192" t="str">
        <f>IF(TITLE_NAME_OR_PR_CHANGE="",IF(TITLE_NAME_OR_PR="","",TITLE_NAME_OR_PR),TITLE_NAME_OR_PR_CHANGE)</f>
        <v/>
      </c>
      <c r="AD27" s="3192"/>
      <c r="AE27" s="3192"/>
      <c r="AF27" s="3192"/>
      <c r="AG27" s="3192"/>
      <c r="AH27" s="3192"/>
      <c r="AI27" s="261"/>
      <c r="AJ27" s="261"/>
      <c r="AK27" s="215"/>
      <c r="AL27" s="302"/>
      <c r="AM27" s="302"/>
      <c r="AN27" s="302"/>
      <c r="AO27" s="302"/>
      <c r="AP27" s="302"/>
      <c r="AQ27" s="352">
        <v>0</v>
      </c>
    </row>
    <row r="28" spans="1:43" s="2028" customFormat="1" ht="18.75" hidden="1" customHeight="1">
      <c r="A28" s="1285"/>
      <c r="B28" s="1285"/>
      <c r="C28" s="1285"/>
      <c r="D28" s="1285"/>
      <c r="E28" s="1285"/>
      <c r="F28" s="1285"/>
      <c r="G28" s="1285"/>
      <c r="H28" s="1285"/>
      <c r="I28" s="1285"/>
      <c r="J28" s="1285"/>
      <c r="K28" s="1285"/>
      <c r="L28" s="1286"/>
      <c r="M28" s="1285"/>
      <c r="N28" s="1285"/>
      <c r="O28" s="1285"/>
      <c r="S28" s="3191" t="s">
        <v>455</v>
      </c>
      <c r="T28" s="3191"/>
      <c r="U28" s="1289"/>
      <c r="V28" s="3201">
        <f>IF(TITLE_DATE_PR_CHANGE="",IF(TITLE_DATE_PR="","",TITLE_DATE_PR),TITLE_DATE_PR_CHANGE)</f>
        <v>45408</v>
      </c>
      <c r="W28" s="3201"/>
      <c r="X28" s="3201"/>
      <c r="Y28" s="3201"/>
      <c r="Z28" s="3201"/>
      <c r="AA28" s="3201"/>
      <c r="AB28" s="261"/>
      <c r="AC28" s="3201">
        <f>IF(TITLE_DATE_PR_CHANGE="",IF(TITLE_DATE_PR="","",TITLE_DATE_PR),TITLE_DATE_PR_CHANGE)</f>
        <v>45408</v>
      </c>
      <c r="AD28" s="3201"/>
      <c r="AE28" s="3201"/>
      <c r="AF28" s="3201"/>
      <c r="AG28" s="3201"/>
      <c r="AH28" s="3201"/>
      <c r="AI28" s="261"/>
      <c r="AJ28" s="261"/>
      <c r="AK28" s="215"/>
      <c r="AL28" s="302"/>
      <c r="AM28" s="302"/>
      <c r="AN28" s="302"/>
      <c r="AO28" s="302"/>
      <c r="AP28" s="302"/>
      <c r="AQ28" s="352">
        <v>0</v>
      </c>
    </row>
    <row r="29" spans="1:43" s="2028" customFormat="1" ht="18.75" hidden="1" customHeight="1">
      <c r="A29" s="1285"/>
      <c r="B29" s="1285"/>
      <c r="C29" s="1285"/>
      <c r="D29" s="1285"/>
      <c r="E29" s="1285"/>
      <c r="F29" s="1285"/>
      <c r="G29" s="1285"/>
      <c r="H29" s="1285"/>
      <c r="I29" s="1285"/>
      <c r="J29" s="1285"/>
      <c r="K29" s="1285"/>
      <c r="L29" s="1286"/>
      <c r="M29" s="1285"/>
      <c r="N29" s="1285"/>
      <c r="O29" s="1285"/>
      <c r="S29" s="3191" t="s">
        <v>456</v>
      </c>
      <c r="T29" s="3191"/>
      <c r="U29" s="1289"/>
      <c r="V29" s="3192" t="str">
        <f>IF(TITLE_NUMBER_PR_CHANGE="",IF(TITLE_NUMBER_PR="","",TITLE_NUMBER_PR),TITLE_NUMBER_PR_CHANGE)</f>
        <v>04-24/132, 04-24/131</v>
      </c>
      <c r="W29" s="3192"/>
      <c r="X29" s="3192"/>
      <c r="Y29" s="3192"/>
      <c r="Z29" s="3192"/>
      <c r="AA29" s="3192"/>
      <c r="AB29" s="261"/>
      <c r="AC29" s="3192" t="str">
        <f>IF(TITLE_NUMBER_PR_CHANGE="",IF(TITLE_NUMBER_PR="","",TITLE_NUMBER_PR),TITLE_NUMBER_PR_CHANGE)</f>
        <v>04-24/132, 04-24/131</v>
      </c>
      <c r="AD29" s="3192"/>
      <c r="AE29" s="3192"/>
      <c r="AF29" s="3192"/>
      <c r="AG29" s="3192"/>
      <c r="AH29" s="3192"/>
      <c r="AI29" s="261"/>
      <c r="AJ29" s="261"/>
      <c r="AK29" s="215"/>
      <c r="AL29" s="302"/>
      <c r="AM29" s="302"/>
      <c r="AN29" s="302"/>
      <c r="AO29" s="302"/>
      <c r="AP29" s="302"/>
      <c r="AQ29" s="352">
        <v>0</v>
      </c>
    </row>
    <row r="30" spans="1:43" s="2028" customFormat="1" ht="18.75" hidden="1" customHeight="1">
      <c r="A30" s="1285"/>
      <c r="B30" s="1285"/>
      <c r="C30" s="1285"/>
      <c r="D30" s="1285"/>
      <c r="E30" s="1285"/>
      <c r="F30" s="1285"/>
      <c r="G30" s="1285"/>
      <c r="H30" s="1285"/>
      <c r="I30" s="1285"/>
      <c r="J30" s="1285"/>
      <c r="K30" s="1285"/>
      <c r="L30" s="1286"/>
      <c r="M30" s="1285"/>
      <c r="N30" s="1285"/>
      <c r="O30" s="1285"/>
      <c r="S30" s="3191" t="s">
        <v>43</v>
      </c>
      <c r="T30" s="3191"/>
      <c r="U30" s="1289"/>
      <c r="V30" s="3192" t="str">
        <f>IF(TITLE_IST_PUB_CHANGE="",IF(TITLE_IST_PUB="","",TITLE_IST_PUB),TITLE_IST_PUB_CHANGE)</f>
        <v/>
      </c>
      <c r="W30" s="3192"/>
      <c r="X30" s="3192"/>
      <c r="Y30" s="3192"/>
      <c r="Z30" s="3192"/>
      <c r="AA30" s="3192"/>
      <c r="AB30" s="261"/>
      <c r="AC30" s="3192" t="str">
        <f>IF(TITLE_IST_PUB_CHANGE="",IF(TITLE_IST_PUB="","",TITLE_IST_PUB),TITLE_IST_PUB_CHANGE)</f>
        <v/>
      </c>
      <c r="AD30" s="3192"/>
      <c r="AE30" s="3192"/>
      <c r="AF30" s="3192"/>
      <c r="AG30" s="3192"/>
      <c r="AH30" s="3192"/>
      <c r="AI30" s="261"/>
      <c r="AJ30" s="261"/>
      <c r="AK30" s="215"/>
      <c r="AL30" s="302"/>
      <c r="AM30" s="302"/>
      <c r="AN30" s="302"/>
      <c r="AO30" s="302"/>
      <c r="AP30" s="302"/>
      <c r="AQ30" s="352">
        <v>0</v>
      </c>
    </row>
    <row r="31" spans="1:43" ht="14.25" customHeight="1">
      <c r="Q31" s="310"/>
      <c r="R31" s="310"/>
      <c r="S31" s="1192"/>
      <c r="T31" s="297"/>
      <c r="U31" s="297"/>
      <c r="V31" s="257"/>
      <c r="W31" s="257"/>
      <c r="X31" s="257"/>
      <c r="Y31" s="257"/>
      <c r="Z31" s="257"/>
      <c r="AA31" s="257"/>
      <c r="AB31" s="257"/>
      <c r="AC31" s="257"/>
      <c r="AD31" s="257"/>
      <c r="AE31" s="257"/>
      <c r="AF31" s="257"/>
      <c r="AG31" s="257"/>
      <c r="AH31" s="257"/>
      <c r="AI31" s="257"/>
      <c r="AJ31" s="443"/>
      <c r="AQ31" s="1072">
        <v>0</v>
      </c>
    </row>
    <row r="32" spans="1:43" s="2028" customFormat="1" ht="18.75" customHeight="1">
      <c r="A32" s="1285"/>
      <c r="B32" s="1285"/>
      <c r="C32" s="1285"/>
      <c r="D32" s="1285"/>
      <c r="E32" s="1285"/>
      <c r="F32" s="1285"/>
      <c r="G32" s="1285"/>
      <c r="H32" s="1285"/>
      <c r="I32" s="1285"/>
      <c r="J32" s="1285"/>
      <c r="K32" s="1285"/>
      <c r="L32" s="1286"/>
      <c r="M32" s="1285"/>
      <c r="N32" s="1285"/>
      <c r="O32" s="1285"/>
      <c r="S32" s="3191" t="s">
        <v>457</v>
      </c>
      <c r="T32" s="3191"/>
      <c r="U32" s="1289"/>
      <c r="V32" s="3201">
        <f>IF(TITLE_DATE_PR_CHANGE="",IF(TITLE_DATE_PR="","",TITLE_DATE_PR),TITLE_DATE_PR_CHANGE)</f>
        <v>45408</v>
      </c>
      <c r="W32" s="3201"/>
      <c r="X32" s="3201"/>
      <c r="Y32" s="3201"/>
      <c r="Z32" s="3201"/>
      <c r="AA32" s="3201"/>
      <c r="AB32" s="261"/>
      <c r="AC32" s="3201">
        <f>IF(TITLE_DATE_PR_CHANGE="",IF(TITLE_DATE_PR="","",TITLE_DATE_PR),TITLE_DATE_PR_CHANGE)</f>
        <v>45408</v>
      </c>
      <c r="AD32" s="3201"/>
      <c r="AE32" s="3201"/>
      <c r="AF32" s="3201"/>
      <c r="AG32" s="3201"/>
      <c r="AH32" s="3201"/>
      <c r="AI32" s="261"/>
      <c r="AJ32" s="261"/>
      <c r="AK32" s="215"/>
      <c r="AL32" s="302"/>
      <c r="AM32" s="302"/>
      <c r="AN32" s="302"/>
      <c r="AO32" s="302"/>
      <c r="AP32" s="302"/>
      <c r="AQ32" s="352">
        <v>0</v>
      </c>
    </row>
    <row r="33" spans="1:43" s="2028" customFormat="1" ht="18.75" customHeight="1">
      <c r="A33" s="1285"/>
      <c r="B33" s="1285"/>
      <c r="C33" s="1285"/>
      <c r="D33" s="1285"/>
      <c r="E33" s="1285"/>
      <c r="F33" s="1285"/>
      <c r="G33" s="1285"/>
      <c r="H33" s="1285"/>
      <c r="I33" s="1285"/>
      <c r="J33" s="1285"/>
      <c r="K33" s="1285"/>
      <c r="L33" s="1286"/>
      <c r="M33" s="1285"/>
      <c r="N33" s="1285"/>
      <c r="O33" s="1285"/>
      <c r="S33" s="3191" t="s">
        <v>458</v>
      </c>
      <c r="T33" s="3191"/>
      <c r="U33" s="1289"/>
      <c r="V33" s="3192" t="str">
        <f>IF(TITLE_NUMBER_PR_CHANGE="",IF(TITLE_NUMBER_PR="","",TITLE_NUMBER_PR),TITLE_NUMBER_PR_CHANGE)</f>
        <v>04-24/132, 04-24/131</v>
      </c>
      <c r="W33" s="3192"/>
      <c r="X33" s="3192"/>
      <c r="Y33" s="3192"/>
      <c r="Z33" s="3192"/>
      <c r="AA33" s="3192"/>
      <c r="AB33" s="261"/>
      <c r="AC33" s="3192" t="str">
        <f>IF(TITLE_NUMBER_PR_CHANGE="",IF(TITLE_NUMBER_PR="","",TITLE_NUMBER_PR),TITLE_NUMBER_PR_CHANGE)</f>
        <v>04-24/132, 04-24/131</v>
      </c>
      <c r="AD33" s="3192"/>
      <c r="AE33" s="3192"/>
      <c r="AF33" s="3192"/>
      <c r="AG33" s="3192"/>
      <c r="AH33" s="3192"/>
      <c r="AI33" s="261"/>
      <c r="AJ33" s="261"/>
      <c r="AK33" s="215"/>
      <c r="AL33" s="302"/>
      <c r="AM33" s="302"/>
      <c r="AN33" s="302"/>
      <c r="AO33" s="302"/>
      <c r="AP33" s="302"/>
      <c r="AQ33" s="352">
        <v>0</v>
      </c>
    </row>
    <row r="34" spans="1:43" s="2028" customFormat="1" ht="1" customHeight="1">
      <c r="A34" s="1285"/>
      <c r="B34" s="1285"/>
      <c r="C34" s="1285"/>
      <c r="D34" s="1285"/>
      <c r="E34" s="1285"/>
      <c r="F34" s="1285"/>
      <c r="G34" s="1285"/>
      <c r="H34" s="1285"/>
      <c r="I34" s="1285"/>
      <c r="J34" s="1285"/>
      <c r="K34" s="1285"/>
      <c r="L34" s="1286"/>
      <c r="M34" s="1285"/>
      <c r="N34" s="1285"/>
      <c r="O34" s="1285"/>
      <c r="S34" s="258"/>
      <c r="T34" s="258"/>
      <c r="U34" s="1371"/>
      <c r="V34" s="261"/>
      <c r="W34" s="261"/>
      <c r="X34" s="261"/>
      <c r="Y34" s="261"/>
      <c r="Z34" s="261"/>
      <c r="AA34" s="261"/>
      <c r="AB34" s="213" t="s">
        <v>459</v>
      </c>
      <c r="AC34" s="261"/>
      <c r="AD34" s="261"/>
      <c r="AE34" s="261"/>
      <c r="AF34" s="261"/>
      <c r="AG34" s="261"/>
      <c r="AH34" s="261"/>
      <c r="AI34" s="213" t="s">
        <v>459</v>
      </c>
      <c r="AL34" s="302"/>
      <c r="AM34" s="302"/>
      <c r="AN34" s="302"/>
      <c r="AO34" s="302"/>
      <c r="AP34" s="302"/>
      <c r="AQ34" s="352">
        <v>1</v>
      </c>
    </row>
    <row r="35" spans="1:43" ht="14.65" customHeight="1">
      <c r="Q35" s="310"/>
      <c r="R35" s="310"/>
      <c r="S35" s="1192"/>
      <c r="T35" s="297"/>
      <c r="U35" s="1161"/>
      <c r="V35" s="3193"/>
      <c r="W35" s="3193"/>
      <c r="X35" s="3193"/>
      <c r="Y35" s="3193"/>
      <c r="Z35" s="3193"/>
      <c r="AA35" s="3193"/>
      <c r="AB35" s="3193"/>
      <c r="AC35" s="3193"/>
      <c r="AD35" s="3193"/>
      <c r="AE35" s="3193"/>
      <c r="AF35" s="3193"/>
      <c r="AG35" s="3193"/>
      <c r="AH35" s="3193"/>
      <c r="AI35" s="3193"/>
      <c r="AQ35" s="1072">
        <v>14</v>
      </c>
    </row>
    <row r="36" spans="1:43" ht="14.65" customHeight="1">
      <c r="Q36" s="310"/>
      <c r="R36" s="310"/>
      <c r="S36" s="3067" t="s">
        <v>335</v>
      </c>
      <c r="T36" s="3067"/>
      <c r="U36" s="3067"/>
      <c r="V36" s="3067"/>
      <c r="W36" s="3067"/>
      <c r="X36" s="3067"/>
      <c r="Y36" s="3067"/>
      <c r="Z36" s="3067"/>
      <c r="AA36" s="3067"/>
      <c r="AB36" s="3067"/>
      <c r="AC36" s="3067"/>
      <c r="AD36" s="3067"/>
      <c r="AE36" s="3067"/>
      <c r="AF36" s="3067"/>
      <c r="AG36" s="3067"/>
      <c r="AH36" s="3067"/>
      <c r="AI36" s="3067"/>
      <c r="AJ36" s="3067"/>
      <c r="AK36" s="3067" t="s">
        <v>336</v>
      </c>
      <c r="AQ36" s="1072">
        <v>14</v>
      </c>
    </row>
    <row r="37" spans="1:43" ht="14.65" customHeight="1">
      <c r="Q37" s="310"/>
      <c r="R37" s="310"/>
      <c r="S37" s="3207" t="s">
        <v>89</v>
      </c>
      <c r="T37" s="3159" t="s">
        <v>460</v>
      </c>
      <c r="U37" s="236"/>
      <c r="V37" s="3208" t="s">
        <v>461</v>
      </c>
      <c r="W37" s="3209"/>
      <c r="X37" s="3209"/>
      <c r="Y37" s="3209"/>
      <c r="Z37" s="3209"/>
      <c r="AA37" s="3210"/>
      <c r="AB37" s="3211" t="s">
        <v>462</v>
      </c>
      <c r="AC37" s="3208" t="s">
        <v>461</v>
      </c>
      <c r="AD37" s="3209"/>
      <c r="AE37" s="3209"/>
      <c r="AF37" s="3209"/>
      <c r="AG37" s="3209"/>
      <c r="AH37" s="3210"/>
      <c r="AI37" s="3211" t="s">
        <v>463</v>
      </c>
      <c r="AJ37" s="3214" t="s">
        <v>464</v>
      </c>
      <c r="AK37" s="3067"/>
      <c r="AQ37" s="1072">
        <v>14</v>
      </c>
    </row>
    <row r="38" spans="1:43" ht="35.65" customHeight="1">
      <c r="Q38" s="310"/>
      <c r="R38" s="310"/>
      <c r="S38" s="3207"/>
      <c r="T38" s="3159"/>
      <c r="U38" s="952"/>
      <c r="V38" s="1369" t="s">
        <v>522</v>
      </c>
      <c r="W38" s="3038" t="s">
        <v>467</v>
      </c>
      <c r="X38" s="3037"/>
      <c r="Y38" s="3038" t="s">
        <v>468</v>
      </c>
      <c r="Z38" s="3044"/>
      <c r="AA38" s="3037"/>
      <c r="AB38" s="3212"/>
      <c r="AC38" s="1369" t="s">
        <v>522</v>
      </c>
      <c r="AD38" s="3038" t="s">
        <v>467</v>
      </c>
      <c r="AE38" s="3037"/>
      <c r="AF38" s="3038" t="s">
        <v>468</v>
      </c>
      <c r="AG38" s="3044"/>
      <c r="AH38" s="3037"/>
      <c r="AI38" s="3212"/>
      <c r="AJ38" s="3215"/>
      <c r="AK38" s="3067"/>
      <c r="AQ38" s="1072">
        <v>34</v>
      </c>
    </row>
    <row r="39" spans="1:43" ht="35.65" customHeight="1">
      <c r="A39" s="1287"/>
      <c r="B39" s="1287" t="s">
        <v>149</v>
      </c>
      <c r="C39" s="1287" t="s">
        <v>150</v>
      </c>
      <c r="D39" s="1287" t="s">
        <v>151</v>
      </c>
      <c r="E39" s="1281" t="s">
        <v>469</v>
      </c>
      <c r="F39" s="1281" t="s">
        <v>470</v>
      </c>
      <c r="G39" s="1281" t="s">
        <v>471</v>
      </c>
      <c r="H39" s="1281"/>
      <c r="I39" s="1281" t="s">
        <v>523</v>
      </c>
      <c r="J39" s="1281" t="s">
        <v>474</v>
      </c>
      <c r="K39" s="1281" t="s">
        <v>524</v>
      </c>
      <c r="L39" s="1281" t="s">
        <v>450</v>
      </c>
      <c r="Q39" s="310"/>
      <c r="R39" s="310"/>
      <c r="S39" s="3207"/>
      <c r="T39" s="3159"/>
      <c r="U39" s="237"/>
      <c r="V39" s="1369" t="s">
        <v>525</v>
      </c>
      <c r="W39" s="1139" t="s">
        <v>526</v>
      </c>
      <c r="X39" s="1139" t="s">
        <v>527</v>
      </c>
      <c r="Y39" s="1372" t="s">
        <v>478</v>
      </c>
      <c r="Z39" s="3167" t="s">
        <v>479</v>
      </c>
      <c r="AA39" s="3169"/>
      <c r="AB39" s="3213"/>
      <c r="AC39" s="1369" t="s">
        <v>525</v>
      </c>
      <c r="AD39" s="1139" t="s">
        <v>526</v>
      </c>
      <c r="AE39" s="1139" t="s">
        <v>527</v>
      </c>
      <c r="AF39" s="1372" t="s">
        <v>478</v>
      </c>
      <c r="AG39" s="3167" t="s">
        <v>479</v>
      </c>
      <c r="AH39" s="3169"/>
      <c r="AI39" s="3213"/>
      <c r="AJ39" s="3216"/>
      <c r="AK39" s="3067"/>
      <c r="AQ39" s="1072">
        <v>34</v>
      </c>
    </row>
    <row r="40" spans="1:43" s="2212" customFormat="1" ht="0" hidden="1" customHeight="1">
      <c r="A40" s="1287"/>
      <c r="B40" s="1287"/>
      <c r="C40" s="1287"/>
      <c r="D40" s="1287"/>
      <c r="E40" s="1287"/>
      <c r="F40" s="1287"/>
      <c r="G40" s="1287"/>
      <c r="H40" s="1287"/>
      <c r="I40" s="1287"/>
      <c r="J40" s="1287"/>
      <c r="K40" s="1287"/>
      <c r="L40" s="1281"/>
      <c r="M40" s="1279"/>
      <c r="N40" s="1279"/>
      <c r="O40" s="1279"/>
      <c r="P40" s="1163"/>
      <c r="Q40" s="1164"/>
      <c r="R40" s="1171">
        <v>1</v>
      </c>
      <c r="S40" s="1194" t="s">
        <v>124</v>
      </c>
      <c r="T40" s="1172" t="s">
        <v>104</v>
      </c>
      <c r="U40" s="1162" t="str">
        <f ca="1">OFFSET(U40,0,-1)</f>
        <v>2</v>
      </c>
      <c r="V40" s="1368">
        <f ca="1">OFFSET(V40,0,-1)+1</f>
        <v>3</v>
      </c>
      <c r="W40" s="1368">
        <f ca="1">OFFSET(W40,0,-1)+1</f>
        <v>4</v>
      </c>
      <c r="X40" s="1368">
        <f ca="1">OFFSET(X40,0,-1)+1</f>
        <v>5</v>
      </c>
      <c r="Y40" s="1368">
        <f ca="1">OFFSET(Y40,0,-1)+1</f>
        <v>6</v>
      </c>
      <c r="Z40" s="3206">
        <f ca="1">OFFSET(Z40,0,-1)+1</f>
        <v>7</v>
      </c>
      <c r="AA40" s="3206"/>
      <c r="AB40" s="1368">
        <f ca="1">OFFSET(AB40,0,-2)+1</f>
        <v>8</v>
      </c>
      <c r="AC40" s="1368">
        <f ca="1">OFFSET(AC40,0,-1)+1</f>
        <v>9</v>
      </c>
      <c r="AD40" s="1368">
        <f ca="1">OFFSET(AD40,0,-1)+1</f>
        <v>10</v>
      </c>
      <c r="AE40" s="1368">
        <f ca="1">OFFSET(AE40,0,-1)+1</f>
        <v>11</v>
      </c>
      <c r="AF40" s="1368">
        <f ca="1">OFFSET(AF40,0,-1)+1</f>
        <v>12</v>
      </c>
      <c r="AG40" s="3206">
        <f ca="1">OFFSET(AG40,0,-1)+1</f>
        <v>13</v>
      </c>
      <c r="AH40" s="3206"/>
      <c r="AI40" s="1368">
        <f ca="1">OFFSET(AI40,0,-2)+1</f>
        <v>14</v>
      </c>
      <c r="AJ40" s="1162">
        <f ca="1">OFFSET(AJ40,0,-1)</f>
        <v>14</v>
      </c>
      <c r="AK40" s="1368">
        <f ca="1">OFFSET(AK40,0,-1)+1</f>
        <v>15</v>
      </c>
      <c r="AL40" s="445"/>
      <c r="AM40" s="445"/>
      <c r="AN40" s="445"/>
      <c r="AO40" s="445"/>
      <c r="AP40" s="445"/>
      <c r="AQ40" s="430">
        <v>0</v>
      </c>
    </row>
    <row r="41" spans="1:43" ht="24" customHeight="1">
      <c r="A41" s="1280" t="s">
        <v>276</v>
      </c>
      <c r="B41" s="1280"/>
      <c r="C41" s="1280"/>
      <c r="D41" s="1280"/>
      <c r="E41" s="3199">
        <v>1</v>
      </c>
      <c r="F41" s="1280"/>
      <c r="G41" s="1280"/>
      <c r="H41" s="1280"/>
      <c r="I41" s="1280"/>
      <c r="J41" s="1280"/>
      <c r="K41" s="1280"/>
      <c r="L41" s="1281"/>
      <c r="M41" s="1282"/>
      <c r="N41" s="1282"/>
      <c r="O41" s="1282"/>
      <c r="P41" s="295"/>
      <c r="Q41" s="294"/>
      <c r="R41" s="289"/>
      <c r="S41" s="1374">
        <f>INDEX(PT_DIFFERENTIATION_NUM_NTAR,MATCH(A41,PT_DIFFERENTIATION_NTAR_ID,0))</f>
        <v>0</v>
      </c>
      <c r="T41" s="233" t="s">
        <v>137</v>
      </c>
      <c r="U41" s="235"/>
      <c r="V41" s="3185"/>
      <c r="W41" s="3186"/>
      <c r="X41" s="3186"/>
      <c r="Y41" s="3186"/>
      <c r="Z41" s="3186"/>
      <c r="AA41" s="3186"/>
      <c r="AB41" s="3187"/>
      <c r="AC41" s="3185" t="str">
        <f>INDEX(PT_DIFFERENTIATION_NTAR,MATCH(A41,PT_DIFFERENTIATION_NTAR_ID,0))</f>
        <v/>
      </c>
      <c r="AD41" s="3186"/>
      <c r="AE41" s="3186"/>
      <c r="AF41" s="3186"/>
      <c r="AG41" s="3186"/>
      <c r="AH41" s="3186"/>
      <c r="AI41" s="3186"/>
      <c r="AJ41" s="3187"/>
      <c r="AK41"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4"/>
      <c r="AN41" s="434" t="str">
        <f t="shared" ref="AN41:AN53" si="1">IF(T41="","",T41)</f>
        <v>Наименование тарифа</v>
      </c>
      <c r="AO41" s="434"/>
      <c r="AP41" s="434"/>
      <c r="AQ41" s="1072">
        <v>23</v>
      </c>
    </row>
    <row r="42" spans="1:43" ht="24" customHeight="1">
      <c r="A42" s="1280" t="s">
        <v>276</v>
      </c>
      <c r="B42" s="1280" t="s">
        <v>277</v>
      </c>
      <c r="C42" s="1280"/>
      <c r="D42" s="1280"/>
      <c r="E42" s="3200"/>
      <c r="F42" s="3199">
        <v>1</v>
      </c>
      <c r="G42" s="1280"/>
      <c r="H42" s="1280"/>
      <c r="I42" s="1280"/>
      <c r="J42" s="1280"/>
      <c r="K42" s="1280"/>
      <c r="L42" s="1281"/>
      <c r="M42" s="1282"/>
      <c r="N42" s="1282"/>
      <c r="O42" s="1282"/>
      <c r="P42" s="1370"/>
      <c r="Q42" s="286"/>
      <c r="R42" s="287"/>
      <c r="S42" s="1374" t="str">
        <f>INDEX(PT_DIFFERENTIATION_NUM_TER,MATCH(B42,PT_DIFFERENTIATION_TER_ID,0))</f>
        <v>.</v>
      </c>
      <c r="T42" s="243" t="s">
        <v>432</v>
      </c>
      <c r="U42" s="235"/>
      <c r="V42" s="3185"/>
      <c r="W42" s="3186"/>
      <c r="X42" s="3186"/>
      <c r="Y42" s="3186"/>
      <c r="Z42" s="3186"/>
      <c r="AA42" s="3186"/>
      <c r="AB42" s="3187"/>
      <c r="AC42" s="3185" t="str">
        <f>INDEX(PT_DIFFERENTIATION_TER,MATCH(B42,PT_DIFFERENTIATION_TER_ID,0))</f>
        <v/>
      </c>
      <c r="AD42" s="3186"/>
      <c r="AE42" s="3186"/>
      <c r="AF42" s="3186"/>
      <c r="AG42" s="3186"/>
      <c r="AH42" s="3186"/>
      <c r="AI42" s="3186"/>
      <c r="AJ42" s="3187"/>
      <c r="AK42" s="1175" t="s">
        <v>433</v>
      </c>
      <c r="AM42" s="434"/>
      <c r="AN42" s="434" t="str">
        <f t="shared" si="1"/>
        <v>Территория действия тарифа</v>
      </c>
      <c r="AO42" s="434"/>
      <c r="AP42" s="434"/>
      <c r="AQ42" s="1072">
        <v>23</v>
      </c>
    </row>
    <row r="43" spans="1:43" ht="24" customHeight="1">
      <c r="A43" s="1280" t="s">
        <v>276</v>
      </c>
      <c r="B43" s="1280" t="s">
        <v>277</v>
      </c>
      <c r="C43" s="1280" t="s">
        <v>278</v>
      </c>
      <c r="D43" s="1280"/>
      <c r="E43" s="3200"/>
      <c r="F43" s="3200"/>
      <c r="G43" s="3199">
        <v>1</v>
      </c>
      <c r="H43" s="1280"/>
      <c r="I43" s="1280"/>
      <c r="J43" s="1280"/>
      <c r="K43" s="1280"/>
      <c r="L43" s="1281"/>
      <c r="M43" s="1282"/>
      <c r="N43" s="1282"/>
      <c r="O43" s="1282"/>
      <c r="P43" s="288"/>
      <c r="Q43" s="286"/>
      <c r="R43" s="287"/>
      <c r="S43" s="1374" t="str">
        <f>INDEX(PT_DIFFERENTIATION_NUM_CS,MATCH(C43,PT_DIFFERENTIATION_CS_ID,0))</f>
        <v>..</v>
      </c>
      <c r="T43" s="244" t="s">
        <v>514</v>
      </c>
      <c r="U43" s="235"/>
      <c r="V43" s="3185"/>
      <c r="W43" s="3186"/>
      <c r="X43" s="3186"/>
      <c r="Y43" s="3186"/>
      <c r="Z43" s="3186"/>
      <c r="AA43" s="3186"/>
      <c r="AB43" s="3187"/>
      <c r="AC43" s="3185" t="str">
        <f>INDEX(PT_DIFFERENTIATION_CS,MATCH(C43,PT_DIFFERENTIATION_CS_ID,0))</f>
        <v/>
      </c>
      <c r="AD43" s="3186"/>
      <c r="AE43" s="3186"/>
      <c r="AF43" s="3186"/>
      <c r="AG43" s="3186"/>
      <c r="AH43" s="3186"/>
      <c r="AI43" s="3186"/>
      <c r="AJ43" s="3187"/>
      <c r="AK43" s="1175" t="s">
        <v>515</v>
      </c>
      <c r="AM43" s="434"/>
      <c r="AN43" s="434" t="str">
        <f t="shared" si="1"/>
        <v>Наименование централизованной системы холодного водоснабжения</v>
      </c>
      <c r="AO43" s="434"/>
      <c r="AP43" s="434"/>
      <c r="AQ43" s="1072">
        <v>23</v>
      </c>
    </row>
    <row r="44" spans="1:43" ht="24" customHeight="1">
      <c r="A44" s="1280" t="s">
        <v>276</v>
      </c>
      <c r="B44" s="1280" t="s">
        <v>277</v>
      </c>
      <c r="C44" s="1280" t="s">
        <v>278</v>
      </c>
      <c r="D44" s="1280" t="s">
        <v>531</v>
      </c>
      <c r="E44" s="3200"/>
      <c r="F44" s="3200"/>
      <c r="G44" s="3200"/>
      <c r="H44" s="3200"/>
      <c r="I44" s="3197" t="str">
        <f>S43&amp;".1"</f>
        <v>...1</v>
      </c>
      <c r="J44" s="1280"/>
      <c r="K44" s="1280"/>
      <c r="L44" s="1281"/>
      <c r="P44" s="3198">
        <v>1</v>
      </c>
      <c r="Q44" s="1367"/>
      <c r="R44" s="290"/>
      <c r="S44" s="1374" t="str">
        <f>$I44</f>
        <v>...1</v>
      </c>
      <c r="T44" s="220" t="s">
        <v>516</v>
      </c>
      <c r="U44" s="235"/>
      <c r="V44" s="3266"/>
      <c r="W44" s="3267"/>
      <c r="X44" s="3267"/>
      <c r="Y44" s="3267"/>
      <c r="Z44" s="3267"/>
      <c r="AA44" s="3267"/>
      <c r="AB44" s="3268"/>
      <c r="AC44" s="3269"/>
      <c r="AD44" s="3270"/>
      <c r="AE44" s="3270"/>
      <c r="AF44" s="3270"/>
      <c r="AG44" s="3270"/>
      <c r="AH44" s="3270"/>
      <c r="AI44" s="3270"/>
      <c r="AJ44" s="3271"/>
      <c r="AK44" s="1175" t="s">
        <v>517</v>
      </c>
      <c r="AM44" s="434"/>
      <c r="AN44" s="434" t="str">
        <f t="shared" si="1"/>
        <v>Наименование признака дифференциации</v>
      </c>
      <c r="AO44" s="434"/>
      <c r="AP44" s="434"/>
      <c r="AQ44" s="1072">
        <v>23</v>
      </c>
    </row>
    <row r="45" spans="1:43" ht="24" customHeight="1">
      <c r="A45" s="1280" t="s">
        <v>276</v>
      </c>
      <c r="B45" s="1280" t="s">
        <v>277</v>
      </c>
      <c r="C45" s="1280" t="s">
        <v>278</v>
      </c>
      <c r="D45" s="1280" t="s">
        <v>531</v>
      </c>
      <c r="E45" s="3200"/>
      <c r="F45" s="3200"/>
      <c r="G45" s="3200"/>
      <c r="H45" s="3200"/>
      <c r="I45" s="3220"/>
      <c r="J45" s="3197" t="str">
        <f>I44&amp;".1"</f>
        <v>...1.1</v>
      </c>
      <c r="K45" s="1280"/>
      <c r="L45" s="1281" t="s">
        <v>441</v>
      </c>
      <c r="P45" s="3198"/>
      <c r="Q45" s="3198">
        <v>1</v>
      </c>
      <c r="R45" s="291"/>
      <c r="S45" s="1374" t="str">
        <f>$J45</f>
        <v>...1.1</v>
      </c>
      <c r="T45" s="221" t="s">
        <v>442</v>
      </c>
      <c r="U45" s="235"/>
      <c r="V45" s="3188"/>
      <c r="W45" s="3189"/>
      <c r="X45" s="3189"/>
      <c r="Y45" s="3189"/>
      <c r="Z45" s="3189"/>
      <c r="AA45" s="3189"/>
      <c r="AB45" s="3190"/>
      <c r="AC45" s="3188"/>
      <c r="AD45" s="3189"/>
      <c r="AE45" s="3189"/>
      <c r="AF45" s="3189"/>
      <c r="AG45" s="3189"/>
      <c r="AH45" s="3189"/>
      <c r="AI45" s="3189"/>
      <c r="AJ45" s="3190"/>
      <c r="AK45" s="1224" t="s">
        <v>518</v>
      </c>
      <c r="AM45" s="434"/>
      <c r="AN45" s="434" t="str">
        <f t="shared" si="1"/>
        <v>Группа потребителей</v>
      </c>
      <c r="AO45" s="434"/>
      <c r="AP45" s="434"/>
      <c r="AQ45" s="1072">
        <v>23</v>
      </c>
    </row>
    <row r="46" spans="1:43" ht="24" customHeight="1">
      <c r="A46" s="1280" t="s">
        <v>276</v>
      </c>
      <c r="B46" s="1280" t="s">
        <v>277</v>
      </c>
      <c r="C46" s="1280" t="s">
        <v>278</v>
      </c>
      <c r="D46" s="1280" t="s">
        <v>531</v>
      </c>
      <c r="E46" s="3200"/>
      <c r="F46" s="3200"/>
      <c r="G46" s="3200"/>
      <c r="H46" s="3200"/>
      <c r="I46" s="3220"/>
      <c r="J46" s="3220"/>
      <c r="K46" s="3197" t="str">
        <f>J45&amp;".1"</f>
        <v>...1.1.1</v>
      </c>
      <c r="L46" s="1281"/>
      <c r="P46" s="3198"/>
      <c r="Q46" s="3198"/>
      <c r="R46" s="291">
        <v>1</v>
      </c>
      <c r="S46" s="1374" t="str">
        <f>$K46</f>
        <v>...1.1.1</v>
      </c>
      <c r="T46" s="1354"/>
      <c r="U46" s="235"/>
      <c r="V46" s="685"/>
      <c r="W46" s="685"/>
      <c r="X46" s="1174"/>
      <c r="Y46" s="3202"/>
      <c r="Z46" s="3048" t="s">
        <v>67</v>
      </c>
      <c r="AA46" s="3202"/>
      <c r="AB46" s="3048" t="s">
        <v>67</v>
      </c>
      <c r="AC46" s="685"/>
      <c r="AD46" s="685"/>
      <c r="AE46" s="1174"/>
      <c r="AF46" s="3202"/>
      <c r="AG46" s="3048" t="s">
        <v>67</v>
      </c>
      <c r="AH46" s="3221"/>
      <c r="AI46" s="3048" t="s">
        <v>67</v>
      </c>
      <c r="AJ46" s="1355"/>
      <c r="AK46" s="3265"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5" t="e">
        <f ca="1">STRCHECKDATE(V47:AJ47)</f>
        <v>#NAME?</v>
      </c>
      <c r="AM46" s="434"/>
      <c r="AN46" s="434" t="str">
        <f t="shared" si="1"/>
        <v/>
      </c>
      <c r="AO46" s="434"/>
      <c r="AP46" s="434"/>
      <c r="AQ46" s="1072">
        <v>23</v>
      </c>
    </row>
    <row r="47" spans="1:43" ht="0" hidden="1" customHeight="1">
      <c r="A47" s="1280" t="s">
        <v>276</v>
      </c>
      <c r="B47" s="1280" t="s">
        <v>277</v>
      </c>
      <c r="C47" s="1280" t="s">
        <v>278</v>
      </c>
      <c r="D47" s="1280" t="s">
        <v>531</v>
      </c>
      <c r="E47" s="3200"/>
      <c r="F47" s="3200"/>
      <c r="G47" s="3200"/>
      <c r="H47" s="3200"/>
      <c r="I47" s="3220"/>
      <c r="J47" s="3220"/>
      <c r="K47" s="3197"/>
      <c r="L47" s="1281"/>
      <c r="P47" s="3198"/>
      <c r="Q47" s="3198"/>
      <c r="R47" s="291"/>
      <c r="S47" s="1373"/>
      <c r="T47" s="235"/>
      <c r="U47" s="235"/>
      <c r="V47" s="260"/>
      <c r="W47" s="260"/>
      <c r="X47" s="263" t="str">
        <f>Y46&amp;"-"&amp;AA46</f>
        <v>-</v>
      </c>
      <c r="Y47" s="3203"/>
      <c r="Z47" s="3048"/>
      <c r="AA47" s="3203"/>
      <c r="AB47" s="3048"/>
      <c r="AC47" s="260"/>
      <c r="AD47" s="260"/>
      <c r="AE47" s="263" t="str">
        <f>AF46&amp;"-"&amp;AH46</f>
        <v>-</v>
      </c>
      <c r="AF47" s="3203"/>
      <c r="AG47" s="3048"/>
      <c r="AH47" s="3222"/>
      <c r="AI47" s="3048"/>
      <c r="AJ47" s="1356"/>
      <c r="AK47" s="3265"/>
      <c r="AM47" s="434"/>
      <c r="AN47" s="434" t="str">
        <f t="shared" si="1"/>
        <v/>
      </c>
      <c r="AO47" s="434"/>
      <c r="AP47" s="434"/>
      <c r="AQ47" s="1072">
        <v>0</v>
      </c>
    </row>
    <row r="48" spans="1:43" ht="21" customHeight="1">
      <c r="A48" s="1280" t="s">
        <v>276</v>
      </c>
      <c r="B48" s="1280" t="s">
        <v>277</v>
      </c>
      <c r="C48" s="1280" t="s">
        <v>278</v>
      </c>
      <c r="D48" s="1280" t="s">
        <v>531</v>
      </c>
      <c r="E48" s="3200"/>
      <c r="F48" s="3200"/>
      <c r="G48" s="3200"/>
      <c r="H48" s="3200"/>
      <c r="I48" s="3220"/>
      <c r="J48" s="3197"/>
      <c r="K48" s="1280"/>
      <c r="L48" s="1281"/>
      <c r="P48" s="3198"/>
      <c r="Q48" s="3198"/>
      <c r="R48" s="290"/>
      <c r="S48" s="1195"/>
      <c r="T48" s="222" t="s">
        <v>519</v>
      </c>
      <c r="U48" s="301"/>
      <c r="V48" s="301"/>
      <c r="W48" s="301"/>
      <c r="X48" s="301"/>
      <c r="Y48" s="301"/>
      <c r="Z48" s="301"/>
      <c r="AA48" s="301"/>
      <c r="AB48" s="301"/>
      <c r="AC48" s="301"/>
      <c r="AD48" s="301"/>
      <c r="AE48" s="301"/>
      <c r="AF48" s="301"/>
      <c r="AG48" s="301"/>
      <c r="AH48" s="301"/>
      <c r="AI48" s="301"/>
      <c r="AJ48" s="301"/>
      <c r="AK48" s="1175" t="s">
        <v>520</v>
      </c>
      <c r="AM48" s="434"/>
      <c r="AN48" s="434" t="str">
        <f t="shared" si="1"/>
        <v>Добавить значение признака дифференциации</v>
      </c>
      <c r="AO48" s="434"/>
      <c r="AP48" s="434"/>
      <c r="AQ48" s="1072">
        <v>20</v>
      </c>
    </row>
    <row r="49" spans="1:43" ht="22" customHeight="1">
      <c r="A49" s="1280" t="s">
        <v>276</v>
      </c>
      <c r="B49" s="1280" t="s">
        <v>277</v>
      </c>
      <c r="C49" s="1280" t="s">
        <v>278</v>
      </c>
      <c r="D49" s="1280" t="s">
        <v>531</v>
      </c>
      <c r="E49" s="3200"/>
      <c r="F49" s="3200"/>
      <c r="G49" s="3200"/>
      <c r="H49" s="3200"/>
      <c r="I49" s="3197"/>
      <c r="J49" s="1280"/>
      <c r="K49" s="1280"/>
      <c r="L49" s="1281"/>
      <c r="P49" s="3198"/>
      <c r="Q49" s="1367"/>
      <c r="R49" s="290"/>
      <c r="S49" s="1195"/>
      <c r="T49" s="299" t="s">
        <v>447</v>
      </c>
      <c r="U49" s="301"/>
      <c r="V49" s="301"/>
      <c r="W49" s="301"/>
      <c r="X49" s="301"/>
      <c r="Y49" s="301"/>
      <c r="Z49" s="301"/>
      <c r="AA49" s="301"/>
      <c r="AB49" s="300"/>
      <c r="AC49" s="301"/>
      <c r="AD49" s="301"/>
      <c r="AE49" s="301"/>
      <c r="AF49" s="301"/>
      <c r="AG49" s="301"/>
      <c r="AH49" s="301"/>
      <c r="AI49" s="300"/>
      <c r="AJ49" s="301"/>
      <c r="AK49" s="1357"/>
      <c r="AM49" s="434"/>
      <c r="AN49" s="434" t="str">
        <f t="shared" si="1"/>
        <v>Добавить группу потребителей</v>
      </c>
      <c r="AO49" s="434"/>
      <c r="AP49" s="434"/>
      <c r="AQ49" s="1072">
        <v>21</v>
      </c>
    </row>
    <row r="50" spans="1:43" ht="22" customHeight="1">
      <c r="A50" s="1280" t="s">
        <v>276</v>
      </c>
      <c r="B50" s="1280" t="s">
        <v>277</v>
      </c>
      <c r="C50" s="1280" t="s">
        <v>278</v>
      </c>
      <c r="D50" s="1280" t="s">
        <v>531</v>
      </c>
      <c r="E50" s="3200"/>
      <c r="F50" s="3200"/>
      <c r="G50" s="3200"/>
      <c r="H50" s="3199"/>
      <c r="I50" s="1280"/>
      <c r="J50" s="1280"/>
      <c r="K50" s="1280"/>
      <c r="L50" s="1281"/>
      <c r="M50" s="1282"/>
      <c r="N50" s="1282"/>
      <c r="O50" s="471"/>
      <c r="P50" s="294"/>
      <c r="Q50" s="309"/>
      <c r="R50" s="289"/>
      <c r="S50" s="1195"/>
      <c r="T50" s="306" t="s">
        <v>521</v>
      </c>
      <c r="U50" s="301"/>
      <c r="V50" s="301"/>
      <c r="W50" s="301"/>
      <c r="X50" s="301"/>
      <c r="Y50" s="301"/>
      <c r="Z50" s="301"/>
      <c r="AA50" s="301"/>
      <c r="AB50" s="300"/>
      <c r="AC50" s="301"/>
      <c r="AD50" s="301"/>
      <c r="AE50" s="301"/>
      <c r="AF50" s="301"/>
      <c r="AG50" s="301"/>
      <c r="AH50" s="301"/>
      <c r="AI50" s="300"/>
      <c r="AJ50" s="301"/>
      <c r="AK50" s="238"/>
      <c r="AM50" s="434"/>
      <c r="AN50" s="434" t="str">
        <f t="shared" si="1"/>
        <v>Добавить наименование признака дифференциации</v>
      </c>
      <c r="AO50" s="434"/>
      <c r="AP50" s="434"/>
      <c r="AQ50" s="1072">
        <v>21</v>
      </c>
    </row>
    <row r="51" spans="1:43" s="2017" customFormat="1" ht="0" hidden="1" customHeight="1">
      <c r="A51" s="1260" t="s">
        <v>276</v>
      </c>
      <c r="B51" s="1260" t="s">
        <v>277</v>
      </c>
      <c r="C51" s="1231"/>
      <c r="D51" s="1231"/>
      <c r="E51" s="3200"/>
      <c r="F51" s="3199"/>
      <c r="G51" s="1231"/>
      <c r="H51" s="1231"/>
      <c r="I51" s="1231"/>
      <c r="J51" s="1231"/>
      <c r="K51" s="1231"/>
      <c r="L51" s="1375"/>
      <c r="M51" s="1238"/>
      <c r="N51" s="1238"/>
      <c r="P51" s="1233"/>
      <c r="Q51" s="1234"/>
      <c r="R51" s="1233"/>
      <c r="S51" s="1239"/>
      <c r="T51" s="1242" t="s">
        <v>181</v>
      </c>
      <c r="U51" s="1241"/>
      <c r="V51" s="1241"/>
      <c r="W51" s="1241"/>
      <c r="X51" s="1241"/>
      <c r="Y51" s="1241"/>
      <c r="Z51" s="1241"/>
      <c r="AA51" s="1241"/>
      <c r="AB51" s="1241"/>
      <c r="AC51" s="1241"/>
      <c r="AD51" s="1241"/>
      <c r="AE51" s="1241"/>
      <c r="AF51" s="1241"/>
      <c r="AG51" s="1241"/>
      <c r="AH51" s="1241"/>
      <c r="AI51" s="1241"/>
      <c r="AJ51" s="1241"/>
      <c r="AK51" s="1241"/>
      <c r="AM51" s="717"/>
      <c r="AN51" s="717" t="str">
        <f t="shared" si="1"/>
        <v>Добавить централизованную систему для дифференциации</v>
      </c>
      <c r="AO51" s="717"/>
      <c r="AP51" s="717"/>
      <c r="AQ51" s="452">
        <v>0</v>
      </c>
    </row>
    <row r="52" spans="1:43" s="2017" customFormat="1" ht="0" hidden="1" customHeight="1">
      <c r="A52" s="1260" t="s">
        <v>276</v>
      </c>
      <c r="B52" s="1260"/>
      <c r="C52" s="1260"/>
      <c r="D52" s="1260"/>
      <c r="E52" s="3199"/>
      <c r="F52" s="1260"/>
      <c r="G52" s="1260"/>
      <c r="H52" s="1260"/>
      <c r="I52" s="1260"/>
      <c r="J52" s="1260"/>
      <c r="K52" s="1260"/>
      <c r="L52" s="1263"/>
      <c r="M52" s="1238"/>
      <c r="N52" s="1238"/>
      <c r="O52" s="452"/>
      <c r="P52" s="314"/>
      <c r="Q52" s="1261"/>
      <c r="R52" s="314"/>
      <c r="S52" s="1239"/>
      <c r="T52" s="1242" t="s">
        <v>188</v>
      </c>
      <c r="U52" s="1241"/>
      <c r="V52" s="1241"/>
      <c r="W52" s="1241"/>
      <c r="X52" s="1241"/>
      <c r="Y52" s="1241"/>
      <c r="Z52" s="1241"/>
      <c r="AA52" s="1241"/>
      <c r="AB52" s="1241"/>
      <c r="AC52" s="1241"/>
      <c r="AD52" s="1241"/>
      <c r="AE52" s="1241"/>
      <c r="AF52" s="1241"/>
      <c r="AG52" s="1241"/>
      <c r="AH52" s="1241"/>
      <c r="AI52" s="1241"/>
      <c r="AJ52" s="1241"/>
      <c r="AK52" s="1241"/>
      <c r="AM52" s="434"/>
      <c r="AN52" s="434" t="str">
        <f t="shared" si="1"/>
        <v>Добавить территорию для дифференциации</v>
      </c>
      <c r="AO52" s="434"/>
      <c r="AP52" s="434"/>
      <c r="AQ52" s="445">
        <v>0</v>
      </c>
    </row>
    <row r="53" spans="1:43" s="2017" customFormat="1" ht="0" hidden="1" customHeight="1">
      <c r="A53" s="1231"/>
      <c r="B53" s="1231"/>
      <c r="C53" s="1231"/>
      <c r="D53" s="1231"/>
      <c r="E53" s="1260"/>
      <c r="F53" s="1231"/>
      <c r="G53" s="1231"/>
      <c r="H53" s="1231"/>
      <c r="I53" s="1231"/>
      <c r="J53" s="1231"/>
      <c r="K53" s="1231"/>
      <c r="L53" s="1375"/>
      <c r="M53" s="1238"/>
      <c r="N53" s="1238"/>
      <c r="P53" s="1233"/>
      <c r="Q53" s="1234"/>
      <c r="R53" s="1233"/>
      <c r="S53" s="1239"/>
      <c r="T53" s="1242" t="s">
        <v>189</v>
      </c>
      <c r="U53" s="1241"/>
      <c r="V53" s="1241"/>
      <c r="W53" s="1241"/>
      <c r="X53" s="1241"/>
      <c r="Y53" s="1241"/>
      <c r="Z53" s="1241"/>
      <c r="AA53" s="1241"/>
      <c r="AB53" s="1241"/>
      <c r="AC53" s="1241"/>
      <c r="AD53" s="1241"/>
      <c r="AE53" s="1241"/>
      <c r="AF53" s="1241"/>
      <c r="AG53" s="1241"/>
      <c r="AH53" s="1241"/>
      <c r="AI53" s="1241"/>
      <c r="AJ53" s="1241"/>
      <c r="AK53" s="1241"/>
      <c r="AM53" s="717"/>
      <c r="AN53" s="717" t="str">
        <f t="shared" si="1"/>
        <v>Добавить наименование тарифа</v>
      </c>
      <c r="AO53" s="717"/>
      <c r="AP53" s="717"/>
      <c r="AQ53" s="452">
        <v>0</v>
      </c>
    </row>
    <row r="54" spans="1:43" ht="11.5" customHeight="1">
      <c r="M54" s="1077"/>
      <c r="N54" s="1077"/>
      <c r="O54" s="471"/>
      <c r="P54" s="1072"/>
      <c r="Q54" s="1072"/>
      <c r="R54" s="1072"/>
      <c r="S54" s="1072"/>
      <c r="AL54" s="1072"/>
      <c r="AM54" s="1072"/>
      <c r="AN54" s="1072"/>
      <c r="AO54" s="1072"/>
      <c r="AP54" s="1072"/>
      <c r="AQ54" s="1072">
        <v>11</v>
      </c>
    </row>
    <row r="55" spans="1:43" ht="14.65" customHeight="1">
      <c r="O55" s="471"/>
      <c r="S55" s="1170"/>
      <c r="T55" s="3219"/>
      <c r="U55" s="3219"/>
      <c r="V55" s="3219"/>
      <c r="W55" s="3219"/>
      <c r="X55" s="3219"/>
      <c r="Y55" s="3219"/>
      <c r="Z55" s="3219"/>
      <c r="AA55" s="3219"/>
      <c r="AB55" s="3219"/>
      <c r="AC55" s="3219"/>
      <c r="AD55" s="3219"/>
      <c r="AE55" s="3219"/>
      <c r="AF55" s="3219"/>
      <c r="AG55" s="3219"/>
      <c r="AH55" s="3219"/>
      <c r="AI55" s="3219"/>
      <c r="AJ55" s="3219"/>
      <c r="AK55" s="3219"/>
      <c r="AQ55" s="1072">
        <v>14</v>
      </c>
    </row>
    <row r="56" spans="1:43" ht="14.65" customHeight="1">
      <c r="O56" s="471"/>
      <c r="AQ56" s="1072">
        <v>14</v>
      </c>
    </row>
    <row r="57" spans="1:43" ht="14.65" customHeight="1">
      <c r="O57" s="471"/>
      <c r="S57" s="1170"/>
      <c r="T57" s="3219"/>
      <c r="U57" s="3219"/>
      <c r="V57" s="3219"/>
      <c r="W57" s="3219"/>
      <c r="X57" s="3219"/>
      <c r="Y57" s="3219"/>
      <c r="Z57" s="3219"/>
      <c r="AA57" s="3219"/>
      <c r="AB57" s="3219"/>
      <c r="AC57" s="3219"/>
      <c r="AD57" s="3219"/>
      <c r="AE57" s="3219"/>
      <c r="AF57" s="3219"/>
      <c r="AG57" s="3219"/>
      <c r="AH57" s="3219"/>
      <c r="AI57" s="3219"/>
      <c r="AJ57" s="3219"/>
      <c r="AK57" s="3219"/>
      <c r="AQ57" s="1072">
        <v>14</v>
      </c>
    </row>
    <row r="58" spans="1:43" ht="22.5" hidden="1" customHeight="1">
      <c r="A58" s="1077" t="s">
        <v>83</v>
      </c>
      <c r="B58" s="1077">
        <v>0</v>
      </c>
      <c r="C58" s="1077">
        <v>0</v>
      </c>
      <c r="D58" s="1077">
        <v>0</v>
      </c>
      <c r="E58" s="1077">
        <v>0</v>
      </c>
      <c r="F58" s="1077">
        <v>0</v>
      </c>
      <c r="G58" s="1077">
        <v>0</v>
      </c>
      <c r="H58" s="1077">
        <v>0</v>
      </c>
      <c r="I58" s="1077">
        <v>0</v>
      </c>
      <c r="J58" s="1077">
        <v>0</v>
      </c>
      <c r="K58" s="1077">
        <v>0</v>
      </c>
      <c r="L58" s="1364">
        <v>0</v>
      </c>
      <c r="M58" s="1279">
        <v>0</v>
      </c>
      <c r="N58" s="1279">
        <v>0</v>
      </c>
      <c r="O58" s="1279">
        <v>0</v>
      </c>
      <c r="P58" s="1363">
        <v>3</v>
      </c>
      <c r="Q58" s="279">
        <v>3</v>
      </c>
      <c r="R58" s="279">
        <v>3</v>
      </c>
      <c r="S58" s="515">
        <v>12</v>
      </c>
      <c r="T58" s="1072">
        <v>35</v>
      </c>
      <c r="U58" s="1072">
        <v>0</v>
      </c>
      <c r="V58" s="1072">
        <v>0</v>
      </c>
      <c r="W58" s="1072">
        <v>0</v>
      </c>
      <c r="X58" s="1072">
        <v>0</v>
      </c>
      <c r="Y58" s="1072">
        <v>0</v>
      </c>
      <c r="Z58" s="1072">
        <v>0</v>
      </c>
      <c r="AA58" s="1072">
        <v>0</v>
      </c>
      <c r="AB58" s="1072">
        <v>0</v>
      </c>
      <c r="AC58" s="1072">
        <v>24</v>
      </c>
      <c r="AD58" s="1072">
        <v>24</v>
      </c>
      <c r="AE58" s="1072">
        <v>24</v>
      </c>
      <c r="AF58" s="1072">
        <v>11</v>
      </c>
      <c r="AG58" s="1072">
        <v>3</v>
      </c>
      <c r="AH58" s="1072">
        <v>11</v>
      </c>
      <c r="AI58" s="1072">
        <v>0</v>
      </c>
      <c r="AJ58" s="1072">
        <v>4</v>
      </c>
      <c r="AK58" s="1072">
        <v>115</v>
      </c>
      <c r="AL58" s="445">
        <v>10</v>
      </c>
      <c r="AM58" s="445">
        <v>10</v>
      </c>
      <c r="AN58" s="445">
        <v>10</v>
      </c>
      <c r="AO58" s="445">
        <v>10</v>
      </c>
      <c r="AP58" s="445">
        <v>10</v>
      </c>
      <c r="AQ58" s="1072">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700-000000000000}">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700-000001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xr:uid="{00000000-0002-0000-17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xr:uid="{00000000-0002-0000-1700-000003000000}"/>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700-000004000000}">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xr:uid="{00000000-0002-0000-1700-000005000000}">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700-000006000000}">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xr:uid="{00000000-0002-0000-17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D8E44B-B103-7CF1-2D87-67B43C40486E}">
  <sheetPr>
    <tabColor theme="6" tint="0.39997558519241921"/>
  </sheetPr>
  <dimension ref="A1:AQ64"/>
  <sheetViews>
    <sheetView showGridLines="0" topLeftCell="P23" zoomScale="90" workbookViewId="0"/>
  </sheetViews>
  <sheetFormatPr defaultColWidth="10.59765625" defaultRowHeight="14.25" customHeight="1"/>
  <cols>
    <col min="1" max="3" width="10.09765625" style="2004" hidden="1" customWidth="1"/>
    <col min="4" max="4" width="11.796875" style="2004" hidden="1" customWidth="1"/>
    <col min="5" max="11" width="10.09765625" style="2004" hidden="1" customWidth="1"/>
    <col min="12" max="12" width="10.09765625" style="2015" hidden="1" customWidth="1"/>
    <col min="13" max="15" width="10.09765625" style="2217" hidden="1" customWidth="1"/>
    <col min="16" max="16" width="3" style="2006" customWidth="1"/>
    <col min="17" max="17" width="3" style="2214" customWidth="1"/>
    <col min="18" max="18" width="3" style="2215" customWidth="1"/>
    <col min="19" max="19" width="12" style="2218" customWidth="1"/>
    <col min="20" max="20" width="31" style="2004" customWidth="1"/>
    <col min="21" max="21" width="9.765625E-2" style="2004" customWidth="1"/>
    <col min="22" max="23" width="21.69921875" style="2004" hidden="1" customWidth="1"/>
    <col min="24" max="24" width="11.69921875" style="2004" hidden="1" customWidth="1"/>
    <col min="25" max="25" width="3.69921875" style="2004" hidden="1" customWidth="1"/>
    <col min="26" max="26" width="11.69921875" style="2004" hidden="1" customWidth="1"/>
    <col min="27" max="27" width="8.59765625" style="2004" hidden="1" customWidth="1"/>
    <col min="28" max="28" width="27" style="2004" customWidth="1"/>
    <col min="29" max="29" width="24.59765625" style="2004" customWidth="1"/>
    <col min="30" max="31" width="21" style="2004" customWidth="1"/>
    <col min="32" max="32" width="11" style="2004" customWidth="1"/>
    <col min="33" max="33" width="3.69921875" style="2004" customWidth="1"/>
    <col min="34" max="34" width="11" style="2004" customWidth="1"/>
    <col min="35" max="35" width="8.59765625" style="2004" hidden="1" customWidth="1"/>
    <col min="36" max="36" width="4" style="2004" customWidth="1"/>
    <col min="37" max="37" width="115" style="2004" customWidth="1"/>
    <col min="38" max="42" width="10" style="2017" customWidth="1"/>
    <col min="43" max="43" width="10.59765625" style="2004" hidden="1"/>
  </cols>
  <sheetData>
    <row r="1" spans="1:43" ht="0.75" hidden="1" customHeight="1">
      <c r="AQ1" s="1548" t="s">
        <v>14</v>
      </c>
    </row>
    <row r="2" spans="1:43" ht="21" hidden="1" customHeight="1">
      <c r="A2" s="1184"/>
      <c r="B2" s="1184"/>
      <c r="C2" s="1184"/>
      <c r="D2" s="1184"/>
      <c r="E2" s="3223">
        <v>1</v>
      </c>
      <c r="F2" s="1184"/>
      <c r="G2" s="1184"/>
      <c r="H2" s="1184"/>
      <c r="I2" s="1184"/>
      <c r="J2" s="1184"/>
      <c r="K2" s="1184"/>
      <c r="L2" s="1227"/>
      <c r="M2" s="1527"/>
      <c r="N2" s="1527"/>
      <c r="O2" s="1527"/>
      <c r="P2" s="1326"/>
      <c r="Q2" s="797"/>
      <c r="R2" s="289"/>
      <c r="S2" s="1869" t="e">
        <f>INDEX(PT_DIFFERENTIATION_NUM_NTAR,MATCH(A2,PT_DIFFERENTIATION_NTAR_ID,0))</f>
        <v>#N/A</v>
      </c>
      <c r="T2" s="1442" t="s">
        <v>137</v>
      </c>
      <c r="U2" s="235"/>
      <c r="V2" s="3186"/>
      <c r="W2" s="3186"/>
      <c r="X2" s="3186"/>
      <c r="Y2" s="3186"/>
      <c r="Z2" s="3186"/>
      <c r="AA2" s="3187"/>
      <c r="AB2" s="1863"/>
      <c r="AC2" s="3186" t="e">
        <f>INDEX(PT_DIFFERENTIATION_NTAR,MATCH(A2,PT_DIFFERENTIATION_NTAR_ID,0))</f>
        <v>#N/A</v>
      </c>
      <c r="AD2" s="3186"/>
      <c r="AE2" s="3186"/>
      <c r="AF2" s="3186"/>
      <c r="AG2" s="3186"/>
      <c r="AH2" s="3186"/>
      <c r="AI2" s="3186"/>
      <c r="AJ2" s="3187"/>
      <c r="AK2" s="1175" t="s">
        <v>431</v>
      </c>
      <c r="AM2" s="1541"/>
      <c r="AN2" s="1541" t="str">
        <f t="shared" ref="AN2:AN14" si="0">IF(T2="","",T2)</f>
        <v>Наименование тарифа</v>
      </c>
      <c r="AO2" s="1541"/>
      <c r="AP2" s="1541"/>
      <c r="AQ2" s="1548">
        <v>0</v>
      </c>
    </row>
    <row r="3" spans="1:43" ht="21" hidden="1" customHeight="1">
      <c r="A3" s="1184"/>
      <c r="B3" s="1184"/>
      <c r="C3" s="1184"/>
      <c r="D3" s="1184"/>
      <c r="E3" s="3224"/>
      <c r="F3" s="3223">
        <v>1</v>
      </c>
      <c r="G3" s="1184"/>
      <c r="H3" s="1184"/>
      <c r="I3" s="1184"/>
      <c r="J3" s="1184"/>
      <c r="K3" s="1184"/>
      <c r="L3" s="1227"/>
      <c r="M3" s="1527"/>
      <c r="N3" s="1527"/>
      <c r="O3" s="1527"/>
      <c r="P3" s="1880"/>
      <c r="Q3" s="1328"/>
      <c r="R3" s="287"/>
      <c r="S3" s="1869" t="e">
        <f>INDEX(PT_DIFFERENTIATION_NUM_TER,MATCH(B3,PT_DIFFERENTIATION_TER_ID,0))</f>
        <v>#N/A</v>
      </c>
      <c r="T3" s="1439" t="s">
        <v>432</v>
      </c>
      <c r="U3" s="235"/>
      <c r="V3" s="3186"/>
      <c r="W3" s="3186"/>
      <c r="X3" s="3186"/>
      <c r="Y3" s="3186"/>
      <c r="Z3" s="3186"/>
      <c r="AA3" s="3187"/>
      <c r="AB3" s="1863"/>
      <c r="AC3" s="3186" t="e">
        <f>INDEX(PT_DIFFERENTIATION_TER,MATCH(B3,PT_DIFFERENTIATION_TER_ID,0))</f>
        <v>#N/A</v>
      </c>
      <c r="AD3" s="3186"/>
      <c r="AE3" s="3186"/>
      <c r="AF3" s="3186"/>
      <c r="AG3" s="3186"/>
      <c r="AH3" s="3186"/>
      <c r="AI3" s="3186"/>
      <c r="AJ3" s="3187"/>
      <c r="AK3" s="1175" t="s">
        <v>433</v>
      </c>
      <c r="AM3" s="1541"/>
      <c r="AN3" s="1541" t="str">
        <f t="shared" si="0"/>
        <v>Территория действия тарифа</v>
      </c>
      <c r="AO3" s="1541"/>
      <c r="AP3" s="1541"/>
      <c r="AQ3" s="1548">
        <v>0</v>
      </c>
    </row>
    <row r="4" spans="1:43" ht="22.5" hidden="1" customHeight="1">
      <c r="A4" s="1184"/>
      <c r="B4" s="1184"/>
      <c r="C4" s="1184"/>
      <c r="D4" s="1184"/>
      <c r="E4" s="3224"/>
      <c r="F4" s="3224"/>
      <c r="G4" s="3223">
        <v>1</v>
      </c>
      <c r="H4" s="1184"/>
      <c r="I4" s="1184"/>
      <c r="J4" s="1184"/>
      <c r="K4" s="1184"/>
      <c r="L4" s="1227"/>
      <c r="M4" s="1527"/>
      <c r="N4" s="1527"/>
      <c r="O4" s="1527"/>
      <c r="P4" s="1329"/>
      <c r="Q4" s="1328"/>
      <c r="R4" s="287"/>
      <c r="S4" s="1869" t="e">
        <f>INDEX(PT_DIFFERENTIATION_NUM_CS,MATCH(C4,PT_DIFFERENTIATION_CS_ID,0))</f>
        <v>#N/A</v>
      </c>
      <c r="T4" s="244" t="s">
        <v>434</v>
      </c>
      <c r="U4" s="235"/>
      <c r="V4" s="3186"/>
      <c r="W4" s="3186"/>
      <c r="X4" s="3186"/>
      <c r="Y4" s="3186"/>
      <c r="Z4" s="3186"/>
      <c r="AA4" s="3187"/>
      <c r="AB4" s="1863"/>
      <c r="AC4" s="3186" t="e">
        <f>INDEX(PT_DIFFERENTIATION_CS,MATCH(C4,PT_DIFFERENTIATION_CS_ID,0))</f>
        <v>#N/A</v>
      </c>
      <c r="AD4" s="3186"/>
      <c r="AE4" s="3186"/>
      <c r="AF4" s="3186"/>
      <c r="AG4" s="3186"/>
      <c r="AH4" s="3186"/>
      <c r="AI4" s="3186"/>
      <c r="AJ4" s="3187"/>
      <c r="AK4" s="1175" t="s">
        <v>435</v>
      </c>
      <c r="AM4" s="1541"/>
      <c r="AN4" s="1541" t="str">
        <f t="shared" si="0"/>
        <v xml:space="preserve">Наименование системы теплоснабжения </v>
      </c>
      <c r="AO4" s="1541"/>
      <c r="AP4" s="1541"/>
      <c r="AQ4" s="1548">
        <v>0</v>
      </c>
    </row>
    <row r="5" spans="1:43" ht="21" hidden="1" customHeight="1">
      <c r="A5" s="1184"/>
      <c r="B5" s="1184"/>
      <c r="C5" s="1184"/>
      <c r="D5" s="1184"/>
      <c r="E5" s="3224"/>
      <c r="F5" s="3224"/>
      <c r="G5" s="3224"/>
      <c r="H5" s="3223">
        <v>1</v>
      </c>
      <c r="I5" s="1184"/>
      <c r="J5" s="1184"/>
      <c r="K5" s="1184"/>
      <c r="L5" s="1227"/>
      <c r="M5" s="1527"/>
      <c r="N5" s="1527"/>
      <c r="O5" s="1527"/>
      <c r="P5" s="1329"/>
      <c r="Q5" s="1328"/>
      <c r="R5" s="287"/>
      <c r="S5" s="1869" t="e">
        <f>INDEX(PT_DIFFERENTIATION_NUM_IST_TE,MATCH(D5,PT_DIFFERENTIATION_IST_TE_ID,0))</f>
        <v>#N/A</v>
      </c>
      <c r="T5" s="245" t="s">
        <v>436</v>
      </c>
      <c r="U5" s="235"/>
      <c r="V5" s="3186"/>
      <c r="W5" s="3186"/>
      <c r="X5" s="3186"/>
      <c r="Y5" s="3186"/>
      <c r="Z5" s="3186"/>
      <c r="AA5" s="3187"/>
      <c r="AB5" s="1863"/>
      <c r="AC5" s="3186" t="e">
        <f>INDEX(PT_DIFFERENTIATION_IST_TE,MATCH(D5,PT_DIFFERENTIATION_IST_TE_ID,0))</f>
        <v>#N/A</v>
      </c>
      <c r="AD5" s="3186"/>
      <c r="AE5" s="3186"/>
      <c r="AF5" s="3186"/>
      <c r="AG5" s="3186"/>
      <c r="AH5" s="3186"/>
      <c r="AI5" s="3186"/>
      <c r="AJ5" s="3187"/>
      <c r="AK5" s="1175" t="s">
        <v>437</v>
      </c>
      <c r="AM5" s="1541"/>
      <c r="AN5" s="1541" t="str">
        <f t="shared" si="0"/>
        <v xml:space="preserve">Источник тепловой энергии  </v>
      </c>
      <c r="AO5" s="1541"/>
      <c r="AP5" s="1541"/>
      <c r="AQ5" s="1548">
        <v>0</v>
      </c>
    </row>
    <row r="6" spans="1:43" s="2017" customFormat="1" ht="0.75" hidden="1" customHeight="1">
      <c r="A6" s="1292"/>
      <c r="B6" s="1292"/>
      <c r="C6" s="1292"/>
      <c r="D6" s="1292"/>
      <c r="E6" s="3224"/>
      <c r="F6" s="3224"/>
      <c r="G6" s="3224"/>
      <c r="H6" s="3224"/>
      <c r="I6" s="3067" t="e">
        <f>S5&amp;".1"</f>
        <v>#N/A</v>
      </c>
      <c r="J6" s="1292"/>
      <c r="K6" s="1292"/>
      <c r="L6" s="1298" t="s">
        <v>438</v>
      </c>
      <c r="M6" s="1163"/>
      <c r="N6" s="1163"/>
      <c r="O6" s="1163"/>
      <c r="P6" s="3198">
        <v>1</v>
      </c>
      <c r="Q6" s="1865"/>
      <c r="R6" s="290"/>
      <c r="S6" s="963"/>
      <c r="T6" s="1300"/>
      <c r="U6" s="1301"/>
      <c r="V6" s="3229"/>
      <c r="W6" s="3229"/>
      <c r="X6" s="3229"/>
      <c r="Y6" s="3229"/>
      <c r="Z6" s="3229"/>
      <c r="AA6" s="3230"/>
      <c r="AB6" s="1871"/>
      <c r="AC6" s="3229"/>
      <c r="AD6" s="3229"/>
      <c r="AE6" s="3229"/>
      <c r="AF6" s="3229"/>
      <c r="AG6" s="3229"/>
      <c r="AH6" s="3229"/>
      <c r="AI6" s="3229"/>
      <c r="AJ6" s="3230"/>
      <c r="AK6" s="1302"/>
      <c r="AM6" s="1541"/>
      <c r="AN6" s="1541" t="str">
        <f t="shared" si="0"/>
        <v/>
      </c>
      <c r="AO6" s="1541"/>
      <c r="AP6" s="1541"/>
      <c r="AQ6" s="1553">
        <v>0</v>
      </c>
    </row>
    <row r="7" spans="1:43" s="2017" customFormat="1" ht="0.75" hidden="1" customHeight="1">
      <c r="A7" s="1292"/>
      <c r="B7" s="1292"/>
      <c r="C7" s="1292"/>
      <c r="D7" s="1292"/>
      <c r="E7" s="3224"/>
      <c r="F7" s="3224"/>
      <c r="G7" s="3224"/>
      <c r="H7" s="3224"/>
      <c r="I7" s="3038"/>
      <c r="J7" s="3067" t="e">
        <f>S5&amp;".1"</f>
        <v>#N/A</v>
      </c>
      <c r="K7" s="1292"/>
      <c r="L7" s="1298"/>
      <c r="M7" s="1163"/>
      <c r="N7" s="1163"/>
      <c r="O7" s="1163"/>
      <c r="P7" s="3198"/>
      <c r="Q7" s="3198">
        <v>1</v>
      </c>
      <c r="R7" s="291"/>
      <c r="S7" s="963"/>
      <c r="T7" s="1316"/>
      <c r="U7" s="1301"/>
      <c r="V7" s="3229"/>
      <c r="W7" s="3229"/>
      <c r="X7" s="3229"/>
      <c r="Y7" s="3229"/>
      <c r="Z7" s="3229"/>
      <c r="AA7" s="3230"/>
      <c r="AB7" s="1871"/>
      <c r="AC7" s="3229"/>
      <c r="AD7" s="3229"/>
      <c r="AE7" s="3229"/>
      <c r="AF7" s="3229"/>
      <c r="AG7" s="3229"/>
      <c r="AH7" s="3229"/>
      <c r="AI7" s="3229"/>
      <c r="AJ7" s="3230"/>
      <c r="AK7" s="1302"/>
      <c r="AM7" s="1541"/>
      <c r="AN7" s="1541" t="str">
        <f t="shared" si="0"/>
        <v/>
      </c>
      <c r="AO7" s="1541"/>
      <c r="AP7" s="1541"/>
      <c r="AQ7" s="1553">
        <v>0</v>
      </c>
    </row>
    <row r="8" spans="1:43" ht="21" hidden="1" customHeight="1">
      <c r="A8" s="1184"/>
      <c r="B8" s="1184"/>
      <c r="C8" s="1184"/>
      <c r="D8" s="1184"/>
      <c r="E8" s="3224"/>
      <c r="F8" s="3224"/>
      <c r="G8" s="3224"/>
      <c r="H8" s="3224"/>
      <c r="I8" s="3038"/>
      <c r="J8" s="3038"/>
      <c r="K8" s="1902" t="e">
        <f>S5&amp;".1"</f>
        <v>#N/A</v>
      </c>
      <c r="L8" s="1227"/>
      <c r="P8" s="3198"/>
      <c r="Q8" s="3198"/>
      <c r="R8" s="1906">
        <v>1</v>
      </c>
      <c r="S8" s="1904" t="e">
        <f>$K8</f>
        <v>#N/A</v>
      </c>
      <c r="T8" s="1905"/>
      <c r="U8" s="235"/>
      <c r="V8" s="685"/>
      <c r="W8" s="1174"/>
      <c r="X8" s="1903"/>
      <c r="Y8" s="1901" t="s">
        <v>67</v>
      </c>
      <c r="Z8" s="1903"/>
      <c r="AA8" s="1901" t="s">
        <v>67</v>
      </c>
      <c r="AB8" s="1907"/>
      <c r="AC8" s="1908" t="s">
        <v>28</v>
      </c>
      <c r="AD8" s="685"/>
      <c r="AE8" s="1174"/>
      <c r="AF8" s="1866"/>
      <c r="AG8" s="1853" t="s">
        <v>67</v>
      </c>
      <c r="AH8" s="1866"/>
      <c r="AI8" s="1853" t="s">
        <v>67</v>
      </c>
      <c r="AJ8" s="1265"/>
      <c r="AK8" s="3194" t="s">
        <v>497</v>
      </c>
      <c r="AL8" s="1553" t="e">
        <f ca="1">STRCHECKDATE(#REF!)</f>
        <v>#NAME?</v>
      </c>
      <c r="AM8" s="1541"/>
      <c r="AN8" s="1541" t="str">
        <f t="shared" si="0"/>
        <v/>
      </c>
      <c r="AO8" s="1541"/>
      <c r="AP8" s="1541"/>
      <c r="AQ8" s="1548">
        <v>0</v>
      </c>
    </row>
    <row r="9" spans="1:43" ht="11.25" hidden="1" customHeight="1">
      <c r="A9" s="1184"/>
      <c r="B9" s="1184"/>
      <c r="C9" s="1184"/>
      <c r="D9" s="1184"/>
      <c r="E9" s="3224"/>
      <c r="F9" s="3224"/>
      <c r="G9" s="3224"/>
      <c r="H9" s="3224"/>
      <c r="I9" s="3038"/>
      <c r="J9" s="3067"/>
      <c r="K9" s="1184"/>
      <c r="L9" s="1227"/>
      <c r="P9" s="3198"/>
      <c r="Q9" s="3198"/>
      <c r="R9" s="290"/>
      <c r="S9" s="1195"/>
      <c r="T9" s="222" t="s">
        <v>501</v>
      </c>
      <c r="U9" s="534"/>
      <c r="V9" s="534"/>
      <c r="W9" s="534"/>
      <c r="X9" s="534"/>
      <c r="Y9" s="534"/>
      <c r="Z9" s="534"/>
      <c r="AA9" s="534"/>
      <c r="AB9" s="534"/>
      <c r="AC9" s="534"/>
      <c r="AD9" s="534"/>
      <c r="AE9" s="534"/>
      <c r="AF9" s="534"/>
      <c r="AG9" s="534"/>
      <c r="AH9" s="534"/>
      <c r="AI9" s="534"/>
      <c r="AJ9" s="259"/>
      <c r="AK9" s="3196"/>
      <c r="AM9" s="1541"/>
      <c r="AN9" s="1541" t="str">
        <f t="shared" si="0"/>
        <v>Добавить строку</v>
      </c>
      <c r="AO9" s="1541"/>
      <c r="AP9" s="1541"/>
      <c r="AQ9" s="1548">
        <v>0</v>
      </c>
    </row>
    <row r="10" spans="1:43" s="2017" customFormat="1" ht="0.75" hidden="1" customHeight="1">
      <c r="A10" s="1292"/>
      <c r="B10" s="1292"/>
      <c r="C10" s="1292"/>
      <c r="D10" s="1292"/>
      <c r="E10" s="3224"/>
      <c r="F10" s="3224"/>
      <c r="G10" s="3224"/>
      <c r="H10" s="3224"/>
      <c r="I10" s="3067"/>
      <c r="J10" s="1292"/>
      <c r="K10" s="1292"/>
      <c r="L10" s="1298"/>
      <c r="M10" s="1163"/>
      <c r="N10" s="1163"/>
      <c r="O10" s="1163"/>
      <c r="P10" s="3198"/>
      <c r="Q10" s="1865"/>
      <c r="R10" s="290"/>
      <c r="S10" s="1303"/>
      <c r="T10" s="1304"/>
      <c r="U10" s="1305"/>
      <c r="V10" s="1305"/>
      <c r="W10" s="1305"/>
      <c r="X10" s="1305"/>
      <c r="Y10" s="1305"/>
      <c r="Z10" s="1305"/>
      <c r="AA10" s="1305"/>
      <c r="AB10" s="1305"/>
      <c r="AC10" s="1305"/>
      <c r="AD10" s="1305"/>
      <c r="AE10" s="1305"/>
      <c r="AF10" s="1305"/>
      <c r="AG10" s="1305"/>
      <c r="AH10" s="1305"/>
      <c r="AI10" s="1305"/>
      <c r="AJ10" s="1305"/>
      <c r="AK10" s="1306"/>
      <c r="AM10" s="1541"/>
      <c r="AN10" s="1541" t="str">
        <f t="shared" si="0"/>
        <v/>
      </c>
      <c r="AO10" s="1541"/>
      <c r="AP10" s="1541"/>
      <c r="AQ10" s="1553">
        <v>0</v>
      </c>
    </row>
    <row r="11" spans="1:43" s="2017" customFormat="1" ht="0.75" hidden="1" customHeight="1">
      <c r="A11" s="1292"/>
      <c r="B11" s="1292"/>
      <c r="C11" s="1292"/>
      <c r="D11" s="1292"/>
      <c r="E11" s="3224"/>
      <c r="F11" s="3224"/>
      <c r="G11" s="3224"/>
      <c r="H11" s="3223"/>
      <c r="I11" s="1292"/>
      <c r="J11" s="1292"/>
      <c r="K11" s="1292"/>
      <c r="L11" s="1298"/>
      <c r="M11" s="1295"/>
      <c r="N11" s="1295"/>
      <c r="O11" s="285"/>
      <c r="P11" s="314"/>
      <c r="Q11" s="1261"/>
      <c r="R11" s="1318"/>
      <c r="S11" s="1303"/>
      <c r="T11" s="1304"/>
      <c r="U11" s="1305"/>
      <c r="V11" s="1305"/>
      <c r="W11" s="1305"/>
      <c r="X11" s="1305"/>
      <c r="Y11" s="1305"/>
      <c r="Z11" s="1305"/>
      <c r="AA11" s="1305"/>
      <c r="AB11" s="1305"/>
      <c r="AC11" s="1305"/>
      <c r="AD11" s="1305"/>
      <c r="AE11" s="1305"/>
      <c r="AF11" s="1305"/>
      <c r="AG11" s="1305"/>
      <c r="AH11" s="1305"/>
      <c r="AI11" s="1305"/>
      <c r="AJ11" s="1305"/>
      <c r="AK11" s="1306"/>
      <c r="AM11" s="1541"/>
      <c r="AN11" s="1541" t="str">
        <f t="shared" si="0"/>
        <v/>
      </c>
      <c r="AO11" s="1541"/>
      <c r="AP11" s="1541"/>
      <c r="AQ11" s="1553">
        <v>0</v>
      </c>
    </row>
    <row r="12" spans="1:43" s="2017" customFormat="1" ht="0.75" hidden="1" customHeight="1">
      <c r="A12" s="1292"/>
      <c r="B12" s="1292"/>
      <c r="C12" s="1292"/>
      <c r="D12" s="1291"/>
      <c r="E12" s="3224"/>
      <c r="F12" s="3224"/>
      <c r="G12" s="3223"/>
      <c r="H12" s="1291"/>
      <c r="I12" s="1291"/>
      <c r="J12" s="1291"/>
      <c r="K12" s="1291"/>
      <c r="L12" s="1294"/>
      <c r="M12" s="1295"/>
      <c r="N12" s="1295"/>
      <c r="O12" s="285"/>
      <c r="P12" s="1233"/>
      <c r="Q12" s="1234"/>
      <c r="R12" s="1233"/>
      <c r="S12" s="1239"/>
      <c r="T12" s="1242" t="s">
        <v>180</v>
      </c>
      <c r="U12" s="1241"/>
      <c r="V12" s="1241"/>
      <c r="W12" s="1241"/>
      <c r="X12" s="1241"/>
      <c r="Y12" s="1241"/>
      <c r="Z12" s="1241"/>
      <c r="AA12" s="1241"/>
      <c r="AB12" s="1241"/>
      <c r="AC12" s="1241"/>
      <c r="AD12" s="1241"/>
      <c r="AE12" s="1241"/>
      <c r="AF12" s="1241"/>
      <c r="AG12" s="1241"/>
      <c r="AH12" s="1241"/>
      <c r="AI12" s="1241"/>
      <c r="AJ12" s="1241"/>
      <c r="AK12" s="1241"/>
      <c r="AM12" s="1168"/>
      <c r="AN12" s="1168" t="str">
        <f t="shared" si="0"/>
        <v>Добавить источник для дифференциации</v>
      </c>
      <c r="AO12" s="1168"/>
      <c r="AP12" s="1168"/>
      <c r="AQ12" s="1559">
        <v>0</v>
      </c>
    </row>
    <row r="13" spans="1:43" s="2017" customFormat="1" ht="0.75" hidden="1" customHeight="1">
      <c r="A13" s="1292"/>
      <c r="B13" s="1292"/>
      <c r="C13" s="1291"/>
      <c r="D13" s="1291"/>
      <c r="E13" s="3224"/>
      <c r="F13" s="3223"/>
      <c r="G13" s="1291"/>
      <c r="H13" s="1291"/>
      <c r="I13" s="1291"/>
      <c r="J13" s="1291"/>
      <c r="K13" s="1291"/>
      <c r="L13" s="1294"/>
      <c r="M13" s="1296"/>
      <c r="N13" s="1296"/>
      <c r="O13" s="285"/>
      <c r="P13" s="1233"/>
      <c r="Q13" s="1234"/>
      <c r="R13" s="1233"/>
      <c r="S13" s="1239"/>
      <c r="T13" s="1242" t="s">
        <v>181</v>
      </c>
      <c r="U13" s="1241"/>
      <c r="V13" s="1241"/>
      <c r="W13" s="1241"/>
      <c r="X13" s="1241"/>
      <c r="Y13" s="1241"/>
      <c r="Z13" s="1241"/>
      <c r="AA13" s="1241"/>
      <c r="AB13" s="1241"/>
      <c r="AC13" s="1241"/>
      <c r="AD13" s="1241"/>
      <c r="AE13" s="1241"/>
      <c r="AF13" s="1241"/>
      <c r="AG13" s="1241"/>
      <c r="AH13" s="1241"/>
      <c r="AI13" s="1241"/>
      <c r="AJ13" s="1241"/>
      <c r="AK13" s="1241"/>
      <c r="AM13" s="1168"/>
      <c r="AN13" s="1168" t="str">
        <f t="shared" si="0"/>
        <v>Добавить централизованную систему для дифференциации</v>
      </c>
      <c r="AO13" s="1168"/>
      <c r="AP13" s="1168"/>
      <c r="AQ13" s="1559">
        <v>0</v>
      </c>
    </row>
    <row r="14" spans="1:43" s="2017" customFormat="1" ht="0.75" hidden="1" customHeight="1">
      <c r="A14" s="1292"/>
      <c r="B14" s="1292"/>
      <c r="C14" s="1292"/>
      <c r="D14" s="1292"/>
      <c r="E14" s="3223"/>
      <c r="F14" s="1292"/>
      <c r="G14" s="1292"/>
      <c r="H14" s="1292"/>
      <c r="I14" s="1292"/>
      <c r="J14" s="1292"/>
      <c r="K14" s="1292"/>
      <c r="L14" s="1298"/>
      <c r="M14" s="1296"/>
      <c r="N14" s="1296"/>
      <c r="O14" s="285"/>
      <c r="P14" s="314"/>
      <c r="Q14" s="1261"/>
      <c r="R14" s="314"/>
      <c r="S14" s="1239"/>
      <c r="T14" s="1242" t="s">
        <v>188</v>
      </c>
      <c r="U14" s="1241"/>
      <c r="V14" s="1241"/>
      <c r="W14" s="1241"/>
      <c r="X14" s="1241"/>
      <c r="Y14" s="1241"/>
      <c r="Z14" s="1241"/>
      <c r="AA14" s="1241"/>
      <c r="AB14" s="1241"/>
      <c r="AC14" s="1241"/>
      <c r="AD14" s="1241"/>
      <c r="AE14" s="1241"/>
      <c r="AF14" s="1241"/>
      <c r="AG14" s="1241"/>
      <c r="AH14" s="1241"/>
      <c r="AI14" s="1241"/>
      <c r="AJ14" s="1241"/>
      <c r="AK14" s="1241"/>
      <c r="AM14" s="1541"/>
      <c r="AN14" s="1541" t="str">
        <f t="shared" si="0"/>
        <v>Добавить территорию для дифференциации</v>
      </c>
      <c r="AO14" s="1541"/>
      <c r="AP14" s="1541"/>
      <c r="AQ14" s="1553">
        <v>0</v>
      </c>
    </row>
    <row r="15" spans="1:43" ht="14.25" hidden="1" customHeight="1">
      <c r="AQ15" s="1548">
        <v>0</v>
      </c>
    </row>
    <row r="16" spans="1:43" ht="14.25" hidden="1" customHeight="1">
      <c r="AC16" s="1419"/>
      <c r="AD16" s="1320"/>
      <c r="AE16" s="1321"/>
      <c r="AF16" s="1652"/>
      <c r="AG16" s="1877" t="s">
        <v>67</v>
      </c>
      <c r="AH16" s="1652"/>
      <c r="AI16" s="1877" t="s">
        <v>67</v>
      </c>
      <c r="AQ16" s="1548">
        <v>0</v>
      </c>
    </row>
    <row r="17" spans="1:43" ht="14.25" hidden="1" customHeight="1">
      <c r="AL17" s="1558"/>
      <c r="AM17" s="1558"/>
      <c r="AN17" s="1558"/>
      <c r="AO17" s="1558"/>
      <c r="AP17" s="1558"/>
      <c r="AQ17" s="1548">
        <v>0</v>
      </c>
    </row>
    <row r="18" spans="1:43" ht="14.25" hidden="1" customHeight="1">
      <c r="O18" s="1262" t="s">
        <v>449</v>
      </c>
      <c r="X18" s="1262"/>
      <c r="Z18" s="1262"/>
      <c r="AF18" s="1262"/>
      <c r="AH18" s="1262"/>
      <c r="AL18" s="1558"/>
      <c r="AM18" s="1558"/>
      <c r="AN18" s="1558"/>
      <c r="AO18" s="1558"/>
      <c r="AP18" s="1558"/>
      <c r="AQ18" s="1548">
        <v>0</v>
      </c>
    </row>
    <row r="19" spans="1:43" ht="14.25" hidden="1" customHeight="1">
      <c r="AL19" s="1558"/>
      <c r="AM19" s="1558"/>
      <c r="AN19" s="1558"/>
      <c r="AO19" s="1558"/>
      <c r="AP19" s="1558"/>
      <c r="AQ19" s="1548">
        <v>0</v>
      </c>
    </row>
    <row r="20" spans="1:43" s="2981" customFormat="1" ht="14.25" hidden="1" customHeight="1">
      <c r="A20" s="1882"/>
      <c r="B20" s="1882"/>
      <c r="C20" s="1882"/>
      <c r="D20" s="1882"/>
      <c r="E20" s="1882"/>
      <c r="F20" s="1882"/>
      <c r="G20" s="1882"/>
      <c r="H20" s="1882"/>
      <c r="I20" s="1882"/>
      <c r="J20" s="1882"/>
      <c r="K20" s="1882"/>
      <c r="L20" s="1882"/>
      <c r="M20" s="1883"/>
      <c r="N20" s="1883"/>
      <c r="O20" s="1884" t="s">
        <v>450</v>
      </c>
      <c r="P20" s="1425"/>
      <c r="Q20" s="1427"/>
      <c r="R20" s="1427"/>
      <c r="Y20" s="1424" t="s">
        <v>452</v>
      </c>
      <c r="AA20" s="1424" t="s">
        <v>453</v>
      </c>
      <c r="AC20" s="1424" t="s">
        <v>503</v>
      </c>
      <c r="AG20" s="1424" t="s">
        <v>452</v>
      </c>
      <c r="AI20" s="1424" t="s">
        <v>453</v>
      </c>
      <c r="AL20" s="1428"/>
      <c r="AM20" s="1428"/>
      <c r="AN20" s="1428"/>
      <c r="AO20" s="1428"/>
      <c r="AP20" s="1428"/>
      <c r="AQ20" s="1424">
        <v>0</v>
      </c>
    </row>
    <row r="21" spans="1:43" ht="14.25" hidden="1" customHeight="1">
      <c r="O21" s="1227"/>
      <c r="AL21" s="1558"/>
      <c r="AM21" s="1558"/>
      <c r="AN21" s="1558"/>
      <c r="AO21" s="1558"/>
      <c r="AP21" s="1558"/>
      <c r="AQ21" s="1548">
        <v>0</v>
      </c>
    </row>
    <row r="22" spans="1:43" ht="14.25" hidden="1" customHeight="1">
      <c r="O22" s="1227"/>
      <c r="AL22" s="1558"/>
      <c r="AM22" s="1558"/>
      <c r="AN22" s="1558"/>
      <c r="AO22" s="1558"/>
      <c r="AP22" s="1558"/>
      <c r="AQ22" s="1548">
        <v>0</v>
      </c>
    </row>
    <row r="23" spans="1:43" ht="14.65" customHeight="1">
      <c r="Q23" s="226"/>
      <c r="R23" s="310"/>
      <c r="S23" s="1192"/>
      <c r="T23" s="391"/>
      <c r="U23" s="391"/>
      <c r="V23" s="1552"/>
      <c r="W23" s="1552"/>
      <c r="X23" s="1552"/>
      <c r="Y23" s="1552"/>
      <c r="Z23" s="1552"/>
      <c r="AA23" s="1552"/>
      <c r="AB23" s="1552"/>
      <c r="AC23" s="1552"/>
      <c r="AD23" s="1552"/>
      <c r="AE23" s="1552"/>
      <c r="AF23" s="1552"/>
      <c r="AG23" s="1552"/>
      <c r="AH23" s="1552"/>
      <c r="AI23" s="1552"/>
      <c r="AQ23" s="1548">
        <v>14</v>
      </c>
    </row>
    <row r="24" spans="1:43" ht="39.75" customHeight="1">
      <c r="Q24" s="226"/>
      <c r="R24" s="310"/>
      <c r="S24" s="3183"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3183"/>
      <c r="U24" s="3183"/>
      <c r="V24" s="3183"/>
      <c r="W24" s="3183"/>
      <c r="X24" s="3183"/>
      <c r="Y24" s="3183"/>
      <c r="Z24" s="3183"/>
      <c r="AA24" s="3183"/>
      <c r="AB24" s="3183"/>
      <c r="AC24" s="3183"/>
      <c r="AD24" s="3183"/>
      <c r="AE24" s="3183"/>
      <c r="AF24" s="3183"/>
      <c r="AG24" s="3183"/>
      <c r="AH24" s="3183"/>
      <c r="AI24" s="1160"/>
      <c r="AQ24" s="1548">
        <v>38</v>
      </c>
    </row>
    <row r="25" spans="1:43" ht="14.65" customHeight="1">
      <c r="Q25" s="226"/>
      <c r="R25" s="310"/>
      <c r="S25" s="3131" t="str">
        <f>IF(org=0,"Не определено",org)</f>
        <v>ООО "РСО"</v>
      </c>
      <c r="T25" s="3131"/>
      <c r="U25" s="3131"/>
      <c r="V25" s="3131"/>
      <c r="W25" s="3131"/>
      <c r="X25" s="3131"/>
      <c r="Y25" s="3131"/>
      <c r="Z25" s="3131"/>
      <c r="AA25" s="3131"/>
      <c r="AB25" s="3131"/>
      <c r="AC25" s="3131"/>
      <c r="AD25" s="3131"/>
      <c r="AE25" s="3131"/>
      <c r="AF25" s="3131"/>
      <c r="AG25" s="3131"/>
      <c r="AH25" s="3131"/>
      <c r="AI25" s="1160"/>
      <c r="AQ25" s="1548">
        <v>14</v>
      </c>
    </row>
    <row r="26" spans="1:43" ht="14.25" hidden="1" customHeight="1">
      <c r="Q26" s="226"/>
      <c r="R26" s="310"/>
      <c r="S26" s="1192"/>
      <c r="T26" s="391"/>
      <c r="U26" s="391"/>
      <c r="V26" s="257"/>
      <c r="W26" s="257"/>
      <c r="X26" s="257"/>
      <c r="Y26" s="257"/>
      <c r="Z26" s="257"/>
      <c r="AA26" s="257"/>
      <c r="AB26" s="257"/>
      <c r="AC26" s="257"/>
      <c r="AD26" s="257"/>
      <c r="AE26" s="257"/>
      <c r="AF26" s="257"/>
      <c r="AG26" s="257"/>
      <c r="AH26" s="257"/>
      <c r="AI26" s="257"/>
      <c r="AJ26" s="1552"/>
      <c r="AQ26" s="1548">
        <v>0</v>
      </c>
    </row>
    <row r="27" spans="1:43" s="2028" customFormat="1" ht="25.5" hidden="1" customHeight="1">
      <c r="A27" s="1165"/>
      <c r="B27" s="1165"/>
      <c r="C27" s="1165"/>
      <c r="D27" s="1165"/>
      <c r="E27" s="1165"/>
      <c r="F27" s="1165"/>
      <c r="G27" s="1165"/>
      <c r="H27" s="1165"/>
      <c r="I27" s="1165"/>
      <c r="J27" s="1165"/>
      <c r="K27" s="1165"/>
      <c r="L27" s="1297"/>
      <c r="M27" s="1165"/>
      <c r="N27" s="1165"/>
      <c r="O27" s="1165"/>
      <c r="P27" s="1285"/>
      <c r="Q27" s="1285"/>
      <c r="S27" s="3191" t="s">
        <v>42</v>
      </c>
      <c r="T27" s="3191"/>
      <c r="U27" s="1289"/>
      <c r="V27" s="3192" t="str">
        <f>IF(TITLE_NAME_OR_PR_CHANGE="",IF(TITLE_NAME_OR_PR="","",TITLE_NAME_OR_PR),TITLE_NAME_OR_PR_CHANGE)</f>
        <v/>
      </c>
      <c r="W27" s="3192"/>
      <c r="X27" s="3192"/>
      <c r="Y27" s="3192"/>
      <c r="Z27" s="3192"/>
      <c r="AA27" s="1552"/>
      <c r="AB27" s="1552"/>
      <c r="AC27" s="3192"/>
      <c r="AD27" s="3192"/>
      <c r="AE27" s="3192"/>
      <c r="AF27" s="3192"/>
      <c r="AG27" s="3192"/>
      <c r="AH27" s="3192"/>
      <c r="AI27" s="1552"/>
      <c r="AJ27" s="1552"/>
      <c r="AK27" s="215"/>
      <c r="AL27" s="302"/>
      <c r="AM27" s="302"/>
      <c r="AN27" s="302"/>
      <c r="AO27" s="302"/>
      <c r="AP27" s="302"/>
      <c r="AQ27" s="352">
        <v>0</v>
      </c>
    </row>
    <row r="28" spans="1:43" s="2028" customFormat="1" ht="18.75" hidden="1" customHeight="1">
      <c r="A28" s="1165"/>
      <c r="B28" s="1165"/>
      <c r="C28" s="1165"/>
      <c r="D28" s="1165"/>
      <c r="E28" s="1165"/>
      <c r="F28" s="1165"/>
      <c r="G28" s="1165"/>
      <c r="H28" s="1165"/>
      <c r="I28" s="1165"/>
      <c r="J28" s="1165"/>
      <c r="K28" s="1165"/>
      <c r="L28" s="1297"/>
      <c r="M28" s="1165"/>
      <c r="N28" s="1165"/>
      <c r="O28" s="1165"/>
      <c r="P28" s="1285"/>
      <c r="Q28" s="1285"/>
      <c r="S28" s="3191" t="s">
        <v>455</v>
      </c>
      <c r="T28" s="3191"/>
      <c r="U28" s="1289"/>
      <c r="V28" s="3201">
        <f>IF(TITLE_DATE_PR_CHANGE="",IF(TITLE_DATE_PR="","",TITLE_DATE_PR),TITLE_DATE_PR_CHANGE)</f>
        <v>45408</v>
      </c>
      <c r="W28" s="3201"/>
      <c r="X28" s="3201"/>
      <c r="Y28" s="3201"/>
      <c r="Z28" s="3201"/>
      <c r="AA28" s="1552"/>
      <c r="AB28" s="1552"/>
      <c r="AC28" s="3201"/>
      <c r="AD28" s="3201"/>
      <c r="AE28" s="3201"/>
      <c r="AF28" s="3201"/>
      <c r="AG28" s="3201"/>
      <c r="AH28" s="3201"/>
      <c r="AI28" s="1552"/>
      <c r="AJ28" s="1552"/>
      <c r="AK28" s="215"/>
      <c r="AL28" s="302"/>
      <c r="AM28" s="302"/>
      <c r="AN28" s="302"/>
      <c r="AO28" s="302"/>
      <c r="AP28" s="302"/>
      <c r="AQ28" s="352">
        <v>0</v>
      </c>
    </row>
    <row r="29" spans="1:43" s="2028" customFormat="1" ht="18.75" hidden="1" customHeight="1">
      <c r="A29" s="1165"/>
      <c r="B29" s="1165"/>
      <c r="C29" s="1165"/>
      <c r="D29" s="1165"/>
      <c r="E29" s="1165"/>
      <c r="F29" s="1165"/>
      <c r="G29" s="1165"/>
      <c r="H29" s="1165"/>
      <c r="I29" s="1165"/>
      <c r="J29" s="1165"/>
      <c r="K29" s="1165"/>
      <c r="L29" s="1297"/>
      <c r="M29" s="1165"/>
      <c r="N29" s="1165"/>
      <c r="O29" s="1165"/>
      <c r="P29" s="1285"/>
      <c r="Q29" s="1285"/>
      <c r="S29" s="3191" t="s">
        <v>456</v>
      </c>
      <c r="T29" s="3191"/>
      <c r="U29" s="1289"/>
      <c r="V29" s="3192" t="str">
        <f>IF(TITLE_NUMBER_PR_CHANGE="",IF(TITLE_NUMBER_PR="","",TITLE_NUMBER_PR),TITLE_NUMBER_PR_CHANGE)</f>
        <v>04-24/132, 04-24/131</v>
      </c>
      <c r="W29" s="3192"/>
      <c r="X29" s="3192"/>
      <c r="Y29" s="3192"/>
      <c r="Z29" s="3192"/>
      <c r="AA29" s="1552"/>
      <c r="AB29" s="1552"/>
      <c r="AC29" s="3192"/>
      <c r="AD29" s="3192"/>
      <c r="AE29" s="3192"/>
      <c r="AF29" s="3192"/>
      <c r="AG29" s="3192"/>
      <c r="AH29" s="3192"/>
      <c r="AI29" s="1552"/>
      <c r="AJ29" s="1552"/>
      <c r="AK29" s="215"/>
      <c r="AL29" s="302"/>
      <c r="AM29" s="302"/>
      <c r="AN29" s="302"/>
      <c r="AO29" s="302"/>
      <c r="AP29" s="302"/>
      <c r="AQ29" s="352">
        <v>0</v>
      </c>
    </row>
    <row r="30" spans="1:43" s="2028" customFormat="1" ht="18.75" hidden="1" customHeight="1">
      <c r="A30" s="1165"/>
      <c r="B30" s="1165"/>
      <c r="C30" s="1165"/>
      <c r="D30" s="1165"/>
      <c r="E30" s="1165"/>
      <c r="F30" s="1165"/>
      <c r="G30" s="1165"/>
      <c r="H30" s="1165"/>
      <c r="I30" s="1165"/>
      <c r="J30" s="1165"/>
      <c r="K30" s="1165"/>
      <c r="L30" s="1297"/>
      <c r="M30" s="1165"/>
      <c r="N30" s="1165"/>
      <c r="O30" s="1165"/>
      <c r="P30" s="1285"/>
      <c r="Q30" s="1285"/>
      <c r="S30" s="3191" t="s">
        <v>43</v>
      </c>
      <c r="T30" s="3191"/>
      <c r="U30" s="1289"/>
      <c r="V30" s="3192" t="str">
        <f>IF(TITLE_IST_PUB_CHANGE="",IF(TITLE_IST_PUB="","",TITLE_IST_PUB),TITLE_IST_PUB_CHANGE)</f>
        <v/>
      </c>
      <c r="W30" s="3192"/>
      <c r="X30" s="3192"/>
      <c r="Y30" s="3192"/>
      <c r="Z30" s="3192"/>
      <c r="AA30" s="1552"/>
      <c r="AB30" s="1552"/>
      <c r="AC30" s="3192"/>
      <c r="AD30" s="3192"/>
      <c r="AE30" s="3192"/>
      <c r="AF30" s="3192"/>
      <c r="AG30" s="3192"/>
      <c r="AH30" s="3192"/>
      <c r="AI30" s="1552"/>
      <c r="AJ30" s="1552"/>
      <c r="AK30" s="215"/>
      <c r="AL30" s="302"/>
      <c r="AM30" s="302"/>
      <c r="AN30" s="302"/>
      <c r="AO30" s="302"/>
      <c r="AP30" s="302"/>
      <c r="AQ30" s="352">
        <v>0</v>
      </c>
    </row>
    <row r="31" spans="1:43" ht="14.25" hidden="1" customHeight="1">
      <c r="Q31" s="226"/>
      <c r="R31" s="310"/>
      <c r="S31" s="1192"/>
      <c r="T31" s="391"/>
      <c r="U31" s="391"/>
      <c r="V31" s="257"/>
      <c r="W31" s="257"/>
      <c r="X31" s="257"/>
      <c r="Y31" s="257"/>
      <c r="Z31" s="257"/>
      <c r="AA31" s="257"/>
      <c r="AB31" s="257"/>
      <c r="AC31" s="257"/>
      <c r="AD31" s="257"/>
      <c r="AE31" s="257"/>
      <c r="AF31" s="257"/>
      <c r="AG31" s="257"/>
      <c r="AH31" s="257"/>
      <c r="AI31" s="257"/>
      <c r="AJ31" s="1552"/>
      <c r="AQ31" s="1548">
        <v>0</v>
      </c>
    </row>
    <row r="32" spans="1:43" s="2028" customFormat="1" ht="18.75" hidden="1" customHeight="1">
      <c r="A32" s="1165"/>
      <c r="B32" s="1165"/>
      <c r="C32" s="1165"/>
      <c r="D32" s="1165"/>
      <c r="E32" s="1165"/>
      <c r="F32" s="1165"/>
      <c r="G32" s="1165"/>
      <c r="H32" s="1165"/>
      <c r="I32" s="1165"/>
      <c r="J32" s="1165"/>
      <c r="K32" s="1165"/>
      <c r="L32" s="1297"/>
      <c r="M32" s="1165"/>
      <c r="N32" s="1165"/>
      <c r="O32" s="1165"/>
      <c r="P32" s="1285"/>
      <c r="Q32" s="1285"/>
      <c r="S32" s="3191" t="s">
        <v>455</v>
      </c>
      <c r="T32" s="3191"/>
      <c r="U32" s="1289"/>
      <c r="V32" s="3201">
        <f>IF(TITLE_DATE_PR_CHANGE="",IF(TITLE_DATE_PR="","",TITLE_DATE_PR),TITLE_DATE_PR_CHANGE)</f>
        <v>45408</v>
      </c>
      <c r="W32" s="3201"/>
      <c r="X32" s="3201"/>
      <c r="Y32" s="3201"/>
      <c r="Z32" s="3201"/>
      <c r="AA32" s="1552"/>
      <c r="AB32" s="1552"/>
      <c r="AC32" s="3201"/>
      <c r="AD32" s="3201"/>
      <c r="AE32" s="3201"/>
      <c r="AF32" s="3201"/>
      <c r="AG32" s="3201"/>
      <c r="AH32" s="3201"/>
      <c r="AI32" s="1552"/>
      <c r="AJ32" s="1552"/>
      <c r="AK32" s="215"/>
      <c r="AL32" s="302"/>
      <c r="AM32" s="302"/>
      <c r="AN32" s="302"/>
      <c r="AO32" s="302"/>
      <c r="AP32" s="302"/>
      <c r="AQ32" s="352">
        <v>0</v>
      </c>
    </row>
    <row r="33" spans="1:43" s="2028" customFormat="1" ht="18" hidden="1" customHeight="1">
      <c r="A33" s="1165"/>
      <c r="B33" s="1165"/>
      <c r="C33" s="1165"/>
      <c r="D33" s="1165"/>
      <c r="E33" s="1165"/>
      <c r="F33" s="1165"/>
      <c r="G33" s="1165"/>
      <c r="H33" s="1165"/>
      <c r="I33" s="1165"/>
      <c r="J33" s="1165"/>
      <c r="K33" s="1165"/>
      <c r="L33" s="1297"/>
      <c r="M33" s="1165"/>
      <c r="N33" s="1165"/>
      <c r="O33" s="1165"/>
      <c r="P33" s="1285"/>
      <c r="Q33" s="1285"/>
      <c r="S33" s="3191" t="s">
        <v>456</v>
      </c>
      <c r="T33" s="3191"/>
      <c r="U33" s="1289"/>
      <c r="V33" s="3192" t="str">
        <f>IF(TITLE_NUMBER_PR_CHANGE="",IF(TITLE_NUMBER_PR="","",TITLE_NUMBER_PR),TITLE_NUMBER_PR_CHANGE)</f>
        <v>04-24/132, 04-24/131</v>
      </c>
      <c r="W33" s="3192"/>
      <c r="X33" s="3192"/>
      <c r="Y33" s="3192"/>
      <c r="Z33" s="3192"/>
      <c r="AA33" s="1552"/>
      <c r="AB33" s="1552"/>
      <c r="AC33" s="3192"/>
      <c r="AD33" s="3192"/>
      <c r="AE33" s="3192"/>
      <c r="AF33" s="3192"/>
      <c r="AG33" s="3192"/>
      <c r="AH33" s="3192"/>
      <c r="AI33" s="1552"/>
      <c r="AJ33" s="1552"/>
      <c r="AK33" s="215"/>
      <c r="AL33" s="302"/>
      <c r="AM33" s="302"/>
      <c r="AN33" s="302"/>
      <c r="AO33" s="302"/>
      <c r="AP33" s="302"/>
      <c r="AQ33" s="352">
        <v>0</v>
      </c>
    </row>
    <row r="34" spans="1:43" s="2028" customFormat="1" ht="1" customHeight="1">
      <c r="A34" s="1165"/>
      <c r="B34" s="1165"/>
      <c r="C34" s="1165"/>
      <c r="D34" s="1165"/>
      <c r="E34" s="1165"/>
      <c r="F34" s="1165"/>
      <c r="G34" s="1165"/>
      <c r="H34" s="1165"/>
      <c r="I34" s="1165"/>
      <c r="J34" s="1165"/>
      <c r="K34" s="1165"/>
      <c r="L34" s="1297"/>
      <c r="M34" s="1165"/>
      <c r="N34" s="1165"/>
      <c r="O34" s="1165"/>
      <c r="P34" s="1285"/>
      <c r="Q34" s="1285"/>
      <c r="S34" s="1552"/>
      <c r="T34" s="1552"/>
      <c r="U34" s="1881"/>
      <c r="V34" s="1552"/>
      <c r="W34" s="1552"/>
      <c r="X34" s="1552"/>
      <c r="Y34" s="1552"/>
      <c r="Z34" s="1552"/>
      <c r="AA34" s="1559" t="s">
        <v>459</v>
      </c>
      <c r="AB34" s="1559"/>
      <c r="AC34" s="1552"/>
      <c r="AD34" s="1552"/>
      <c r="AE34" s="1552"/>
      <c r="AF34" s="1552"/>
      <c r="AG34" s="1552"/>
      <c r="AH34" s="1552"/>
      <c r="AI34" s="1559" t="s">
        <v>459</v>
      </c>
      <c r="AL34" s="302"/>
      <c r="AM34" s="302"/>
      <c r="AN34" s="302"/>
      <c r="AO34" s="302"/>
      <c r="AP34" s="302"/>
      <c r="AQ34" s="352">
        <v>1</v>
      </c>
    </row>
    <row r="35" spans="1:43" ht="14.65" customHeight="1">
      <c r="Q35" s="226"/>
      <c r="R35" s="310"/>
      <c r="S35" s="1192"/>
      <c r="T35" s="391"/>
      <c r="U35" s="1161"/>
      <c r="V35" s="3193"/>
      <c r="W35" s="3193"/>
      <c r="X35" s="3193"/>
      <c r="Y35" s="3193"/>
      <c r="Z35" s="3193"/>
      <c r="AA35" s="3193"/>
      <c r="AB35" s="1868"/>
      <c r="AC35" s="3193"/>
      <c r="AD35" s="3193"/>
      <c r="AE35" s="3193"/>
      <c r="AF35" s="3193"/>
      <c r="AG35" s="3193"/>
      <c r="AH35" s="3193"/>
      <c r="AI35" s="3193"/>
      <c r="AQ35" s="1548">
        <v>14</v>
      </c>
    </row>
    <row r="36" spans="1:43" ht="14.65" customHeight="1">
      <c r="Q36" s="226"/>
      <c r="R36" s="310"/>
      <c r="S36" s="3067" t="s">
        <v>335</v>
      </c>
      <c r="T36" s="3067"/>
      <c r="U36" s="3067"/>
      <c r="V36" s="3067"/>
      <c r="W36" s="3067"/>
      <c r="X36" s="3067"/>
      <c r="Y36" s="3067"/>
      <c r="Z36" s="3067"/>
      <c r="AA36" s="3130"/>
      <c r="AB36" s="3130"/>
      <c r="AC36" s="3130"/>
      <c r="AD36" s="3067"/>
      <c r="AE36" s="3067"/>
      <c r="AF36" s="3067"/>
      <c r="AG36" s="3067"/>
      <c r="AH36" s="3067"/>
      <c r="AI36" s="3067"/>
      <c r="AJ36" s="3067"/>
      <c r="AK36" s="3067" t="s">
        <v>336</v>
      </c>
      <c r="AQ36" s="1548">
        <v>14</v>
      </c>
    </row>
    <row r="37" spans="1:43" ht="14.65" customHeight="1">
      <c r="Q37" s="226"/>
      <c r="R37" s="310"/>
      <c r="S37" s="3207" t="s">
        <v>89</v>
      </c>
      <c r="T37" s="3159" t="s">
        <v>532</v>
      </c>
      <c r="U37" s="272"/>
      <c r="V37" s="3209"/>
      <c r="W37" s="3209"/>
      <c r="X37" s="3209"/>
      <c r="Y37" s="3209"/>
      <c r="Z37" s="3209"/>
      <c r="AA37" s="3159" t="s">
        <v>462</v>
      </c>
      <c r="AB37" s="3158" t="s">
        <v>533</v>
      </c>
      <c r="AC37" s="3158" t="s">
        <v>507</v>
      </c>
      <c r="AD37" s="3225" t="s">
        <v>461</v>
      </c>
      <c r="AE37" s="3225"/>
      <c r="AF37" s="3209"/>
      <c r="AG37" s="3209"/>
      <c r="AH37" s="3210"/>
      <c r="AI37" s="3211" t="s">
        <v>462</v>
      </c>
      <c r="AJ37" s="3214" t="s">
        <v>464</v>
      </c>
      <c r="AK37" s="3067"/>
      <c r="AQ37" s="1548">
        <v>14</v>
      </c>
    </row>
    <row r="38" spans="1:43" ht="35.65" customHeight="1">
      <c r="Q38" s="226"/>
      <c r="R38" s="310"/>
      <c r="S38" s="3207"/>
      <c r="T38" s="3159"/>
      <c r="U38" s="952"/>
      <c r="V38" s="3037" t="s">
        <v>510</v>
      </c>
      <c r="W38" s="3067"/>
      <c r="X38" s="3145" t="s">
        <v>468</v>
      </c>
      <c r="Y38" s="3239"/>
      <c r="Z38" s="3239"/>
      <c r="AA38" s="3159"/>
      <c r="AB38" s="3158"/>
      <c r="AC38" s="3158"/>
      <c r="AD38" s="3037" t="s">
        <v>510</v>
      </c>
      <c r="AE38" s="3067"/>
      <c r="AF38" s="3239" t="s">
        <v>468</v>
      </c>
      <c r="AG38" s="3239"/>
      <c r="AH38" s="3146"/>
      <c r="AI38" s="3212"/>
      <c r="AJ38" s="3215"/>
      <c r="AK38" s="3067"/>
      <c r="AQ38" s="1548">
        <v>34</v>
      </c>
    </row>
    <row r="39" spans="1:43" ht="14.65" customHeight="1">
      <c r="Q39" s="226"/>
      <c r="R39" s="310"/>
      <c r="S39" s="3207"/>
      <c r="T39" s="3159"/>
      <c r="U39" s="952"/>
      <c r="V39" s="3256" t="str">
        <f>IF($AD$39&lt;&gt;"",$AD$39,"")</f>
        <v/>
      </c>
      <c r="W39" s="3256"/>
      <c r="X39" s="3150"/>
      <c r="Y39" s="3240"/>
      <c r="Z39" s="3240"/>
      <c r="AA39" s="3159"/>
      <c r="AB39" s="3158"/>
      <c r="AC39" s="3158"/>
      <c r="AD39" s="3272"/>
      <c r="AE39" s="3255"/>
      <c r="AF39" s="3240"/>
      <c r="AG39" s="3240"/>
      <c r="AH39" s="3151"/>
      <c r="AI39" s="3212"/>
      <c r="AJ39" s="3215"/>
      <c r="AK39" s="3067"/>
      <c r="AQ39" s="1548">
        <v>14</v>
      </c>
    </row>
    <row r="40" spans="1:43" ht="14.65" customHeight="1">
      <c r="A40" s="1183"/>
      <c r="B40" s="1183" t="s">
        <v>149</v>
      </c>
      <c r="C40" s="1183" t="s">
        <v>150</v>
      </c>
      <c r="D40" s="1183" t="s">
        <v>151</v>
      </c>
      <c r="E40" s="1227" t="s">
        <v>469</v>
      </c>
      <c r="F40" s="1227" t="s">
        <v>470</v>
      </c>
      <c r="G40" s="1227" t="s">
        <v>471</v>
      </c>
      <c r="H40" s="1227" t="s">
        <v>472</v>
      </c>
      <c r="I40" s="1227" t="s">
        <v>473</v>
      </c>
      <c r="J40" s="1227" t="s">
        <v>474</v>
      </c>
      <c r="K40" s="1227" t="s">
        <v>475</v>
      </c>
      <c r="L40" s="1227" t="s">
        <v>450</v>
      </c>
      <c r="Q40" s="226"/>
      <c r="R40" s="310"/>
      <c r="S40" s="3207"/>
      <c r="T40" s="3159"/>
      <c r="U40" s="237"/>
      <c r="V40" s="1861" t="s">
        <v>511</v>
      </c>
      <c r="W40" s="1861" t="s">
        <v>512</v>
      </c>
      <c r="X40" s="1849" t="s">
        <v>478</v>
      </c>
      <c r="Y40" s="3167" t="s">
        <v>479</v>
      </c>
      <c r="Z40" s="3168"/>
      <c r="AA40" s="3159"/>
      <c r="AB40" s="3158"/>
      <c r="AC40" s="3158"/>
      <c r="AD40" s="1879" t="s">
        <v>511</v>
      </c>
      <c r="AE40" s="1870" t="s">
        <v>512</v>
      </c>
      <c r="AF40" s="1849" t="s">
        <v>478</v>
      </c>
      <c r="AG40" s="3167" t="s">
        <v>479</v>
      </c>
      <c r="AH40" s="3169"/>
      <c r="AI40" s="3213"/>
      <c r="AJ40" s="3216"/>
      <c r="AK40" s="3067"/>
      <c r="AQ40" s="1548">
        <v>14</v>
      </c>
    </row>
    <row r="41" spans="1:43" s="2212" customFormat="1" ht="11.25" hidden="1" customHeight="1">
      <c r="A41" s="1183"/>
      <c r="B41" s="1183"/>
      <c r="C41" s="1183"/>
      <c r="D41" s="1183"/>
      <c r="E41" s="1183"/>
      <c r="F41" s="1183"/>
      <c r="G41" s="1183"/>
      <c r="H41" s="1183"/>
      <c r="I41" s="1183"/>
      <c r="J41" s="1183"/>
      <c r="K41" s="1183"/>
      <c r="L41" s="1227"/>
      <c r="M41" s="1876"/>
      <c r="N41" s="1876"/>
      <c r="O41" s="1876"/>
      <c r="P41" s="444"/>
      <c r="Q41" s="1171"/>
      <c r="R41" s="1171">
        <v>1</v>
      </c>
      <c r="S41" s="1194" t="s">
        <v>124</v>
      </c>
      <c r="T41" s="1172" t="s">
        <v>104</v>
      </c>
      <c r="U41" s="1162" t="str">
        <f ca="1">OFFSET(U41,0,-1)</f>
        <v>2</v>
      </c>
      <c r="V41" s="1867">
        <f ca="1">OFFSET(V41,0,-1)+1</f>
        <v>3</v>
      </c>
      <c r="W41" s="1867">
        <f ca="1">OFFSET(W41,0,-1)+1</f>
        <v>4</v>
      </c>
      <c r="X41" s="1867">
        <f ca="1">OFFSET(X41,0,-1)+1</f>
        <v>5</v>
      </c>
      <c r="Y41" s="3206">
        <f ca="1">OFFSET(Y41,0,-1)+1</f>
        <v>6</v>
      </c>
      <c r="Z41" s="3206"/>
      <c r="AA41" s="1258">
        <f ca="1">OFFSET(AA41,0,-2)+1</f>
        <v>7</v>
      </c>
      <c r="AB41" s="1258"/>
      <c r="AC41" s="1258"/>
      <c r="AD41" s="1867">
        <f ca="1">OFFSET(AD41,0,-1)+1</f>
        <v>1</v>
      </c>
      <c r="AE41" s="1867">
        <f ca="1">OFFSET(AE41,0,-1)+1</f>
        <v>2</v>
      </c>
      <c r="AF41" s="1867">
        <f ca="1">OFFSET(AF41,0,-1)+1</f>
        <v>3</v>
      </c>
      <c r="AG41" s="3206">
        <f ca="1">OFFSET(AG41,0,-1)+1</f>
        <v>4</v>
      </c>
      <c r="AH41" s="3206"/>
      <c r="AI41" s="1867">
        <f ca="1">OFFSET(AI41,0,-2)+1</f>
        <v>5</v>
      </c>
      <c r="AJ41" s="1162">
        <f ca="1">OFFSET(AJ41,0,-1)</f>
        <v>5</v>
      </c>
      <c r="AK41" s="1867">
        <f ca="1">OFFSET(AK41,0,-1)+1</f>
        <v>6</v>
      </c>
      <c r="AL41" s="1553"/>
      <c r="AM41" s="1553"/>
      <c r="AN41" s="1553"/>
      <c r="AO41" s="1553"/>
      <c r="AP41" s="1553"/>
      <c r="AQ41" s="1558">
        <v>0</v>
      </c>
    </row>
    <row r="42" spans="1:43" ht="107.25" customHeight="1">
      <c r="A42" s="1184" t="s">
        <v>241</v>
      </c>
      <c r="B42" s="1184"/>
      <c r="C42" s="1184"/>
      <c r="D42" s="1184"/>
      <c r="E42" s="3223">
        <v>1</v>
      </c>
      <c r="F42" s="1184"/>
      <c r="G42" s="1184"/>
      <c r="H42" s="1184"/>
      <c r="I42" s="1184"/>
      <c r="J42" s="1184"/>
      <c r="K42" s="1184"/>
      <c r="L42" s="1227"/>
      <c r="M42" s="1527"/>
      <c r="N42" s="1527"/>
      <c r="O42" s="1527"/>
      <c r="P42" s="1326"/>
      <c r="Q42" s="797"/>
      <c r="R42" s="289"/>
      <c r="S42" s="1869">
        <f>INDEX(PT_DIFFERENTIATION_NUM_NTAR,MATCH(A42,PT_DIFFERENTIATION_NTAR_ID,0))</f>
        <v>0</v>
      </c>
      <c r="T42" s="1442" t="s">
        <v>137</v>
      </c>
      <c r="U42" s="235"/>
      <c r="V42" s="3186"/>
      <c r="W42" s="3186"/>
      <c r="X42" s="3186"/>
      <c r="Y42" s="3186"/>
      <c r="Z42" s="3186"/>
      <c r="AA42" s="3187"/>
      <c r="AB42" s="1863"/>
      <c r="AC42" s="3186" t="str">
        <f>INDEX(PT_DIFFERENTIATION_NTAR,MATCH(A42,PT_DIFFERENTIATION_NTAR_ID,0))</f>
        <v/>
      </c>
      <c r="AD42" s="3186"/>
      <c r="AE42" s="3186"/>
      <c r="AF42" s="3186"/>
      <c r="AG42" s="3186"/>
      <c r="AH42" s="3186"/>
      <c r="AI42" s="3186"/>
      <c r="AJ42" s="3187"/>
      <c r="AK42" s="117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541"/>
      <c r="AN42" s="1541" t="str">
        <f t="shared" ref="AN42:AN56" si="1">IF(T42="","",T42)</f>
        <v>Наименование тарифа</v>
      </c>
      <c r="AO42" s="1541"/>
      <c r="AP42" s="1541"/>
      <c r="AQ42" s="1548">
        <v>102</v>
      </c>
    </row>
    <row r="43" spans="1:43" ht="22" customHeight="1">
      <c r="A43" s="1184" t="s">
        <v>241</v>
      </c>
      <c r="B43" s="1184" t="s">
        <v>242</v>
      </c>
      <c r="C43" s="1184"/>
      <c r="D43" s="1184"/>
      <c r="E43" s="3224"/>
      <c r="F43" s="3223">
        <v>1</v>
      </c>
      <c r="G43" s="1184"/>
      <c r="H43" s="1184"/>
      <c r="I43" s="1184"/>
      <c r="J43" s="1184"/>
      <c r="K43" s="1184"/>
      <c r="L43" s="1227"/>
      <c r="M43" s="1527"/>
      <c r="N43" s="1527"/>
      <c r="O43" s="1527"/>
      <c r="P43" s="1880"/>
      <c r="Q43" s="1328"/>
      <c r="R43" s="287"/>
      <c r="S43" s="1869" t="str">
        <f>INDEX(PT_DIFFERENTIATION_NUM_TER,MATCH(B43,PT_DIFFERENTIATION_TER_ID,0))</f>
        <v>.</v>
      </c>
      <c r="T43" s="1439" t="s">
        <v>432</v>
      </c>
      <c r="U43" s="235"/>
      <c r="V43" s="3186"/>
      <c r="W43" s="3186"/>
      <c r="X43" s="3186"/>
      <c r="Y43" s="3186"/>
      <c r="Z43" s="3186"/>
      <c r="AA43" s="3187"/>
      <c r="AB43" s="1863"/>
      <c r="AC43" s="3186" t="str">
        <f>INDEX(PT_DIFFERENTIATION_TER,MATCH(B43,PT_DIFFERENTIATION_TER_ID,0))</f>
        <v/>
      </c>
      <c r="AD43" s="3186"/>
      <c r="AE43" s="3186"/>
      <c r="AF43" s="3186"/>
      <c r="AG43" s="3186"/>
      <c r="AH43" s="3186"/>
      <c r="AI43" s="3186"/>
      <c r="AJ43" s="3187"/>
      <c r="AK43" s="1175" t="s">
        <v>433</v>
      </c>
      <c r="AM43" s="1541"/>
      <c r="AN43" s="1541" t="str">
        <f t="shared" si="1"/>
        <v>Территория действия тарифа</v>
      </c>
      <c r="AO43" s="1541"/>
      <c r="AP43" s="1541"/>
      <c r="AQ43" s="1548">
        <v>21</v>
      </c>
    </row>
    <row r="44" spans="1:43" ht="24" customHeight="1">
      <c r="A44" s="1184" t="s">
        <v>241</v>
      </c>
      <c r="B44" s="1184" t="s">
        <v>242</v>
      </c>
      <c r="C44" s="1184" t="s">
        <v>243</v>
      </c>
      <c r="D44" s="1184"/>
      <c r="E44" s="3224"/>
      <c r="F44" s="3224"/>
      <c r="G44" s="3223">
        <v>1</v>
      </c>
      <c r="H44" s="1184"/>
      <c r="I44" s="1184"/>
      <c r="J44" s="1184"/>
      <c r="K44" s="1184"/>
      <c r="L44" s="1227"/>
      <c r="M44" s="1527"/>
      <c r="N44" s="1527"/>
      <c r="O44" s="1527"/>
      <c r="P44" s="1329"/>
      <c r="Q44" s="1328"/>
      <c r="R44" s="287"/>
      <c r="S44" s="1869" t="str">
        <f>INDEX(PT_DIFFERENTIATION_NUM_CS,MATCH(C44,PT_DIFFERENTIATION_CS_ID,0))</f>
        <v>..</v>
      </c>
      <c r="T44" s="244" t="s">
        <v>434</v>
      </c>
      <c r="U44" s="235"/>
      <c r="V44" s="3186"/>
      <c r="W44" s="3186"/>
      <c r="X44" s="3186"/>
      <c r="Y44" s="3186"/>
      <c r="Z44" s="3186"/>
      <c r="AA44" s="3187"/>
      <c r="AB44" s="1863"/>
      <c r="AC44" s="3186" t="str">
        <f>INDEX(PT_DIFFERENTIATION_CS,MATCH(C44,PT_DIFFERENTIATION_CS_ID,0))</f>
        <v/>
      </c>
      <c r="AD44" s="3186"/>
      <c r="AE44" s="3186"/>
      <c r="AF44" s="3186"/>
      <c r="AG44" s="3186"/>
      <c r="AH44" s="3186"/>
      <c r="AI44" s="3186"/>
      <c r="AJ44" s="3187"/>
      <c r="AK44" s="1175" t="s">
        <v>435</v>
      </c>
      <c r="AM44" s="1541"/>
      <c r="AN44" s="1541" t="str">
        <f t="shared" si="1"/>
        <v xml:space="preserve">Наименование системы теплоснабжения </v>
      </c>
      <c r="AO44" s="1541"/>
      <c r="AP44" s="1541"/>
      <c r="AQ44" s="1548">
        <v>23</v>
      </c>
    </row>
    <row r="45" spans="1:43" ht="22" customHeight="1">
      <c r="A45" s="1184" t="s">
        <v>241</v>
      </c>
      <c r="B45" s="1184" t="s">
        <v>242</v>
      </c>
      <c r="C45" s="1184" t="s">
        <v>243</v>
      </c>
      <c r="D45" s="1184" t="s">
        <v>244</v>
      </c>
      <c r="E45" s="3224"/>
      <c r="F45" s="3224"/>
      <c r="G45" s="3224"/>
      <c r="H45" s="3223">
        <v>1</v>
      </c>
      <c r="I45" s="1184"/>
      <c r="J45" s="1184"/>
      <c r="K45" s="1184"/>
      <c r="L45" s="1227"/>
      <c r="M45" s="1527"/>
      <c r="N45" s="1527"/>
      <c r="O45" s="1527"/>
      <c r="P45" s="1329"/>
      <c r="Q45" s="1328"/>
      <c r="R45" s="287"/>
      <c r="S45" s="1869" t="str">
        <f>INDEX(PT_DIFFERENTIATION_NUM_IST_TE,MATCH(D45,PT_DIFFERENTIATION_IST_TE_ID,0))</f>
        <v>...</v>
      </c>
      <c r="T45" s="245" t="s">
        <v>436</v>
      </c>
      <c r="U45" s="235"/>
      <c r="V45" s="3186"/>
      <c r="W45" s="3186"/>
      <c r="X45" s="3186"/>
      <c r="Y45" s="3186"/>
      <c r="Z45" s="3186"/>
      <c r="AA45" s="3187"/>
      <c r="AB45" s="1863"/>
      <c r="AC45" s="3186" t="str">
        <f>INDEX(PT_DIFFERENTIATION_IST_TE,MATCH(D45,PT_DIFFERENTIATION_IST_TE_ID,0))</f>
        <v/>
      </c>
      <c r="AD45" s="3186"/>
      <c r="AE45" s="3186"/>
      <c r="AF45" s="3186"/>
      <c r="AG45" s="3186"/>
      <c r="AH45" s="3186"/>
      <c r="AI45" s="3186"/>
      <c r="AJ45" s="3187"/>
      <c r="AK45" s="1175" t="s">
        <v>437</v>
      </c>
      <c r="AM45" s="1541"/>
      <c r="AN45" s="1541" t="str">
        <f t="shared" si="1"/>
        <v xml:space="preserve">Источник тепловой энергии  </v>
      </c>
      <c r="AO45" s="1541"/>
      <c r="AP45" s="1541"/>
      <c r="AQ45" s="1548">
        <v>21</v>
      </c>
    </row>
    <row r="46" spans="1:43" s="2017" customFormat="1" ht="0" hidden="1" customHeight="1">
      <c r="A46" s="1292" t="s">
        <v>241</v>
      </c>
      <c r="B46" s="1292" t="s">
        <v>242</v>
      </c>
      <c r="C46" s="1292" t="s">
        <v>243</v>
      </c>
      <c r="D46" s="1292" t="s">
        <v>244</v>
      </c>
      <c r="E46" s="3224"/>
      <c r="F46" s="3224"/>
      <c r="G46" s="3224"/>
      <c r="H46" s="3224"/>
      <c r="I46" s="3067" t="str">
        <f>S45&amp;".1"</f>
        <v>....1</v>
      </c>
      <c r="J46" s="1292"/>
      <c r="K46" s="1292"/>
      <c r="L46" s="1298" t="s">
        <v>438</v>
      </c>
      <c r="M46" s="1163"/>
      <c r="N46" s="1163"/>
      <c r="O46" s="1163"/>
      <c r="P46" s="3198">
        <v>1</v>
      </c>
      <c r="Q46" s="1865"/>
      <c r="R46" s="290"/>
      <c r="S46" s="963"/>
      <c r="T46" s="1300"/>
      <c r="U46" s="1301"/>
      <c r="V46" s="3229"/>
      <c r="W46" s="3229"/>
      <c r="X46" s="3229"/>
      <c r="Y46" s="3229"/>
      <c r="Z46" s="3229"/>
      <c r="AA46" s="3230"/>
      <c r="AB46" s="1871"/>
      <c r="AC46" s="3229"/>
      <c r="AD46" s="3229"/>
      <c r="AE46" s="3229"/>
      <c r="AF46" s="3229"/>
      <c r="AG46" s="3229"/>
      <c r="AH46" s="3229"/>
      <c r="AI46" s="3229"/>
      <c r="AJ46" s="3230"/>
      <c r="AK46" s="1302"/>
      <c r="AM46" s="1541"/>
      <c r="AN46" s="1541" t="str">
        <f t="shared" si="1"/>
        <v/>
      </c>
      <c r="AO46" s="1541"/>
      <c r="AP46" s="1541"/>
      <c r="AQ46" s="1553">
        <v>0</v>
      </c>
    </row>
    <row r="47" spans="1:43" s="2017" customFormat="1" ht="0" hidden="1" customHeight="1">
      <c r="A47" s="1292" t="s">
        <v>241</v>
      </c>
      <c r="B47" s="1292" t="s">
        <v>242</v>
      </c>
      <c r="C47" s="1292" t="s">
        <v>243</v>
      </c>
      <c r="D47" s="1292" t="s">
        <v>244</v>
      </c>
      <c r="E47" s="3224"/>
      <c r="F47" s="3224"/>
      <c r="G47" s="3224"/>
      <c r="H47" s="3224"/>
      <c r="I47" s="3038"/>
      <c r="J47" s="3067" t="str">
        <f>S45&amp;".1"</f>
        <v>....1</v>
      </c>
      <c r="K47" s="1292"/>
      <c r="L47" s="1298"/>
      <c r="M47" s="1163"/>
      <c r="N47" s="1163"/>
      <c r="O47" s="1163"/>
      <c r="P47" s="3198"/>
      <c r="Q47" s="3198">
        <v>1</v>
      </c>
      <c r="R47" s="291"/>
      <c r="S47" s="963"/>
      <c r="T47" s="1316"/>
      <c r="U47" s="1301"/>
      <c r="V47" s="3229"/>
      <c r="W47" s="3229"/>
      <c r="X47" s="3229"/>
      <c r="Y47" s="3229"/>
      <c r="Z47" s="3229"/>
      <c r="AA47" s="3230"/>
      <c r="AB47" s="1871"/>
      <c r="AC47" s="3229"/>
      <c r="AD47" s="3229"/>
      <c r="AE47" s="3229"/>
      <c r="AF47" s="3229"/>
      <c r="AG47" s="3229"/>
      <c r="AH47" s="3229"/>
      <c r="AI47" s="3229"/>
      <c r="AJ47" s="3230"/>
      <c r="AK47" s="1302"/>
      <c r="AM47" s="1541"/>
      <c r="AN47" s="1541" t="str">
        <f t="shared" si="1"/>
        <v/>
      </c>
      <c r="AO47" s="1541"/>
      <c r="AP47" s="1541"/>
      <c r="AQ47" s="1553">
        <v>0</v>
      </c>
    </row>
    <row r="48" spans="1:43" ht="22" customHeight="1">
      <c r="A48" s="1184" t="s">
        <v>241</v>
      </c>
      <c r="B48" s="1184" t="s">
        <v>242</v>
      </c>
      <c r="C48" s="1184" t="s">
        <v>243</v>
      </c>
      <c r="D48" s="1184" t="s">
        <v>244</v>
      </c>
      <c r="E48" s="3224"/>
      <c r="F48" s="3224"/>
      <c r="G48" s="3224"/>
      <c r="H48" s="3224"/>
      <c r="I48" s="3038"/>
      <c r="J48" s="3038"/>
      <c r="K48" s="1852" t="str">
        <f>S45&amp;".1"</f>
        <v>....1</v>
      </c>
      <c r="L48" s="1227"/>
      <c r="P48" s="3198"/>
      <c r="Q48" s="3198"/>
      <c r="R48" s="291">
        <v>1</v>
      </c>
      <c r="S48" s="1873" t="str">
        <f>$K48</f>
        <v>....1</v>
      </c>
      <c r="T48" s="1872"/>
      <c r="U48" s="235"/>
      <c r="V48" s="685"/>
      <c r="W48" s="1174"/>
      <c r="X48" s="1866"/>
      <c r="Y48" s="1853" t="s">
        <v>67</v>
      </c>
      <c r="Z48" s="1866"/>
      <c r="AA48" s="1853" t="s">
        <v>67</v>
      </c>
      <c r="AB48" s="1875"/>
      <c r="AC48" s="1874" t="s">
        <v>28</v>
      </c>
      <c r="AD48" s="685"/>
      <c r="AE48" s="1174"/>
      <c r="AF48" s="1866"/>
      <c r="AG48" s="1853" t="s">
        <v>67</v>
      </c>
      <c r="AH48" s="1866"/>
      <c r="AI48" s="1853" t="s">
        <v>67</v>
      </c>
      <c r="AJ48" s="1265"/>
      <c r="AK48" s="3194" t="s">
        <v>513</v>
      </c>
      <c r="AL48" s="1553" t="e">
        <f ca="1">STRCHECKDATE(#REF!)</f>
        <v>#NAME?</v>
      </c>
      <c r="AM48" s="1541"/>
      <c r="AN48" s="1541" t="str">
        <f t="shared" si="1"/>
        <v/>
      </c>
      <c r="AO48" s="1541"/>
      <c r="AP48" s="1541"/>
      <c r="AQ48" s="1548">
        <v>21</v>
      </c>
    </row>
    <row r="49" spans="1:43" ht="11.5" customHeight="1">
      <c r="A49" s="1184" t="s">
        <v>241</v>
      </c>
      <c r="B49" s="1184" t="s">
        <v>242</v>
      </c>
      <c r="C49" s="1184" t="s">
        <v>243</v>
      </c>
      <c r="D49" s="1184" t="s">
        <v>244</v>
      </c>
      <c r="E49" s="3224"/>
      <c r="F49" s="3224"/>
      <c r="G49" s="3224"/>
      <c r="H49" s="3224"/>
      <c r="I49" s="3038"/>
      <c r="J49" s="3067"/>
      <c r="K49" s="1184"/>
      <c r="L49" s="1227"/>
      <c r="P49" s="3198"/>
      <c r="Q49" s="3198"/>
      <c r="R49" s="290"/>
      <c r="S49" s="1195"/>
      <c r="T49" s="222" t="s">
        <v>501</v>
      </c>
      <c r="U49" s="534"/>
      <c r="V49" s="534"/>
      <c r="W49" s="534"/>
      <c r="X49" s="534"/>
      <c r="Y49" s="534"/>
      <c r="Z49" s="534"/>
      <c r="AA49" s="259"/>
      <c r="AB49" s="534"/>
      <c r="AC49" s="534"/>
      <c r="AD49" s="534"/>
      <c r="AE49" s="534"/>
      <c r="AF49" s="534"/>
      <c r="AG49" s="534"/>
      <c r="AH49" s="534"/>
      <c r="AI49" s="534"/>
      <c r="AJ49" s="259"/>
      <c r="AK49" s="3196"/>
      <c r="AM49" s="1541"/>
      <c r="AN49" s="1541" t="str">
        <f t="shared" si="1"/>
        <v>Добавить строку</v>
      </c>
      <c r="AO49" s="1541"/>
      <c r="AP49" s="1541"/>
      <c r="AQ49" s="1548">
        <v>11</v>
      </c>
    </row>
    <row r="50" spans="1:43" s="2017" customFormat="1" ht="1" customHeight="1">
      <c r="A50" s="1292" t="s">
        <v>241</v>
      </c>
      <c r="B50" s="1292" t="s">
        <v>242</v>
      </c>
      <c r="C50" s="1292" t="s">
        <v>243</v>
      </c>
      <c r="D50" s="1292" t="s">
        <v>244</v>
      </c>
      <c r="E50" s="3224"/>
      <c r="F50" s="3224"/>
      <c r="G50" s="3224"/>
      <c r="H50" s="3224"/>
      <c r="I50" s="3067"/>
      <c r="J50" s="1292"/>
      <c r="K50" s="1292"/>
      <c r="L50" s="1298"/>
      <c r="M50" s="1163"/>
      <c r="N50" s="1163"/>
      <c r="O50" s="1163"/>
      <c r="P50" s="3198"/>
      <c r="Q50" s="1865"/>
      <c r="R50" s="290"/>
      <c r="S50" s="1303"/>
      <c r="T50" s="1304" t="s">
        <v>447</v>
      </c>
      <c r="U50" s="1305"/>
      <c r="V50" s="1305"/>
      <c r="W50" s="1305"/>
      <c r="X50" s="1305"/>
      <c r="Y50" s="1305"/>
      <c r="Z50" s="1305"/>
      <c r="AA50" s="1305"/>
      <c r="AB50" s="1305"/>
      <c r="AC50" s="1305"/>
      <c r="AD50" s="1305"/>
      <c r="AE50" s="1305"/>
      <c r="AF50" s="1305"/>
      <c r="AG50" s="1305"/>
      <c r="AH50" s="1305"/>
      <c r="AI50" s="1305"/>
      <c r="AJ50" s="1305"/>
      <c r="AK50" s="1306"/>
      <c r="AM50" s="1541"/>
      <c r="AN50" s="1541" t="str">
        <f t="shared" si="1"/>
        <v>Добавить группу потребителей</v>
      </c>
      <c r="AO50" s="1541"/>
      <c r="AP50" s="1541"/>
      <c r="AQ50" s="1553">
        <v>1</v>
      </c>
    </row>
    <row r="51" spans="1:43" s="2212" customFormat="1" ht="1" customHeight="1">
      <c r="A51" s="1292" t="s">
        <v>241</v>
      </c>
      <c r="B51" s="1292" t="s">
        <v>242</v>
      </c>
      <c r="C51" s="1292" t="s">
        <v>243</v>
      </c>
      <c r="D51" s="1292" t="s">
        <v>244</v>
      </c>
      <c r="E51" s="3224"/>
      <c r="F51" s="3224"/>
      <c r="G51" s="3224"/>
      <c r="H51" s="3223"/>
      <c r="I51" s="1292"/>
      <c r="J51" s="1292"/>
      <c r="K51" s="1292"/>
      <c r="L51" s="1298"/>
      <c r="M51" s="1295"/>
      <c r="N51" s="1295"/>
      <c r="O51" s="285"/>
      <c r="P51" s="314"/>
      <c r="Q51" s="1261"/>
      <c r="R51" s="1317"/>
      <c r="S51" s="1303"/>
      <c r="T51" s="1304"/>
      <c r="U51" s="1305"/>
      <c r="V51" s="1305"/>
      <c r="W51" s="1305"/>
      <c r="X51" s="1305"/>
      <c r="Y51" s="1305"/>
      <c r="Z51" s="1305"/>
      <c r="AA51" s="1305"/>
      <c r="AB51" s="1305"/>
      <c r="AC51" s="1305"/>
      <c r="AD51" s="1305"/>
      <c r="AE51" s="1305"/>
      <c r="AF51" s="1305"/>
      <c r="AG51" s="1305"/>
      <c r="AH51" s="1305"/>
      <c r="AI51" s="1305"/>
      <c r="AJ51" s="1305"/>
      <c r="AK51" s="1306"/>
      <c r="AL51" s="1553"/>
      <c r="AM51" s="1541"/>
      <c r="AN51" s="1541" t="str">
        <f t="shared" si="1"/>
        <v/>
      </c>
      <c r="AO51" s="1541"/>
      <c r="AP51" s="1541"/>
      <c r="AQ51" s="1558">
        <v>1</v>
      </c>
    </row>
    <row r="52" spans="1:43" s="2017" customFormat="1" ht="1" customHeight="1">
      <c r="A52" s="1292" t="s">
        <v>241</v>
      </c>
      <c r="B52" s="1292" t="s">
        <v>242</v>
      </c>
      <c r="C52" s="1292" t="s">
        <v>243</v>
      </c>
      <c r="D52" s="1291"/>
      <c r="E52" s="3224"/>
      <c r="F52" s="3224"/>
      <c r="G52" s="3223"/>
      <c r="H52" s="1291"/>
      <c r="I52" s="1291"/>
      <c r="J52" s="1291"/>
      <c r="K52" s="1291"/>
      <c r="L52" s="1294"/>
      <c r="M52" s="1295"/>
      <c r="N52" s="1295"/>
      <c r="O52" s="285"/>
      <c r="P52" s="1233"/>
      <c r="Q52" s="1234"/>
      <c r="R52" s="1233"/>
      <c r="S52" s="1239"/>
      <c r="T52" s="1242" t="s">
        <v>180</v>
      </c>
      <c r="U52" s="1241"/>
      <c r="V52" s="1241"/>
      <c r="W52" s="1241"/>
      <c r="X52" s="1241"/>
      <c r="Y52" s="1241"/>
      <c r="Z52" s="1241"/>
      <c r="AA52" s="1241"/>
      <c r="AB52" s="1241"/>
      <c r="AC52" s="1241"/>
      <c r="AD52" s="1241"/>
      <c r="AE52" s="1241"/>
      <c r="AF52" s="1241"/>
      <c r="AG52" s="1241"/>
      <c r="AH52" s="1241"/>
      <c r="AI52" s="1241"/>
      <c r="AJ52" s="1241"/>
      <c r="AK52" s="1241"/>
      <c r="AM52" s="1168"/>
      <c r="AN52" s="1168" t="str">
        <f t="shared" si="1"/>
        <v>Добавить источник для дифференциации</v>
      </c>
      <c r="AO52" s="1168"/>
      <c r="AP52" s="1168"/>
      <c r="AQ52" s="1559">
        <v>1</v>
      </c>
    </row>
    <row r="53" spans="1:43" s="2017" customFormat="1" ht="1" customHeight="1">
      <c r="A53" s="1292" t="s">
        <v>241</v>
      </c>
      <c r="B53" s="1292" t="s">
        <v>242</v>
      </c>
      <c r="C53" s="1291"/>
      <c r="D53" s="1291"/>
      <c r="E53" s="3224"/>
      <c r="F53" s="3223"/>
      <c r="G53" s="1291"/>
      <c r="H53" s="1291"/>
      <c r="I53" s="1291"/>
      <c r="J53" s="1291"/>
      <c r="K53" s="1291"/>
      <c r="L53" s="1294"/>
      <c r="M53" s="1296"/>
      <c r="N53" s="1296"/>
      <c r="O53" s="285"/>
      <c r="P53" s="1233"/>
      <c r="Q53" s="1234"/>
      <c r="R53" s="1233"/>
      <c r="S53" s="1239"/>
      <c r="T53" s="1242" t="s">
        <v>181</v>
      </c>
      <c r="U53" s="1241"/>
      <c r="V53" s="1241"/>
      <c r="W53" s="1241"/>
      <c r="X53" s="1241"/>
      <c r="Y53" s="1241"/>
      <c r="Z53" s="1241"/>
      <c r="AA53" s="1241"/>
      <c r="AB53" s="1241"/>
      <c r="AC53" s="1241"/>
      <c r="AD53" s="1241"/>
      <c r="AE53" s="1241"/>
      <c r="AF53" s="1241"/>
      <c r="AG53" s="1241"/>
      <c r="AH53" s="1241"/>
      <c r="AI53" s="1241"/>
      <c r="AJ53" s="1241"/>
      <c r="AK53" s="1241"/>
      <c r="AM53" s="1168"/>
      <c r="AN53" s="1168" t="str">
        <f t="shared" si="1"/>
        <v>Добавить централизованную систему для дифференциации</v>
      </c>
      <c r="AO53" s="1168"/>
      <c r="AP53" s="1168"/>
      <c r="AQ53" s="1559">
        <v>1</v>
      </c>
    </row>
    <row r="54" spans="1:43" s="2017" customFormat="1" ht="1" customHeight="1">
      <c r="A54" s="1292" t="s">
        <v>241</v>
      </c>
      <c r="B54" s="1292"/>
      <c r="C54" s="1292"/>
      <c r="D54" s="1292"/>
      <c r="E54" s="3224"/>
      <c r="F54" s="1292"/>
      <c r="G54" s="1292"/>
      <c r="H54" s="1292"/>
      <c r="I54" s="1292"/>
      <c r="J54" s="1292"/>
      <c r="K54" s="1292"/>
      <c r="L54" s="1298"/>
      <c r="M54" s="1296"/>
      <c r="N54" s="1296"/>
      <c r="O54" s="285"/>
      <c r="P54" s="314"/>
      <c r="Q54" s="1261"/>
      <c r="R54" s="314"/>
      <c r="S54" s="1239"/>
      <c r="T54" s="1242" t="s">
        <v>188</v>
      </c>
      <c r="U54" s="1241"/>
      <c r="V54" s="1241"/>
      <c r="W54" s="1241"/>
      <c r="X54" s="1241"/>
      <c r="Y54" s="1241"/>
      <c r="Z54" s="1241"/>
      <c r="AA54" s="1241"/>
      <c r="AB54" s="1241"/>
      <c r="AC54" s="1241"/>
      <c r="AD54" s="1241"/>
      <c r="AE54" s="1241"/>
      <c r="AF54" s="1241"/>
      <c r="AG54" s="1241"/>
      <c r="AH54" s="1241"/>
      <c r="AI54" s="1241"/>
      <c r="AJ54" s="1241"/>
      <c r="AK54" s="1241"/>
      <c r="AM54" s="1541"/>
      <c r="AN54" s="1541" t="str">
        <f t="shared" si="1"/>
        <v>Добавить территорию для дифференциации</v>
      </c>
      <c r="AO54" s="1541"/>
      <c r="AP54" s="1541"/>
      <c r="AQ54" s="1553">
        <v>1</v>
      </c>
    </row>
    <row r="55" spans="1:43" s="2017" customFormat="1" ht="1" customHeight="1">
      <c r="A55" s="1292" t="s">
        <v>241</v>
      </c>
      <c r="B55" s="1292"/>
      <c r="C55" s="1292"/>
      <c r="D55" s="1292"/>
      <c r="E55" s="3223"/>
      <c r="F55" s="1292"/>
      <c r="G55" s="1292"/>
      <c r="H55" s="1292"/>
      <c r="I55" s="1292"/>
      <c r="J55" s="1292"/>
      <c r="K55" s="1292"/>
      <c r="L55" s="1298"/>
      <c r="M55" s="1296"/>
      <c r="N55" s="1296"/>
      <c r="O55" s="285"/>
      <c r="P55" s="314"/>
      <c r="Q55" s="1261"/>
      <c r="R55" s="314"/>
      <c r="S55" s="1239"/>
      <c r="T55" s="1242" t="s">
        <v>188</v>
      </c>
      <c r="U55" s="1241"/>
      <c r="V55" s="1241"/>
      <c r="W55" s="1241"/>
      <c r="X55" s="1241"/>
      <c r="Y55" s="1241"/>
      <c r="Z55" s="1241"/>
      <c r="AA55" s="1241"/>
      <c r="AB55" s="1241"/>
      <c r="AC55" s="1241"/>
      <c r="AD55" s="1241"/>
      <c r="AE55" s="1241"/>
      <c r="AF55" s="1241"/>
      <c r="AG55" s="1241"/>
      <c r="AH55" s="1241"/>
      <c r="AI55" s="1241"/>
      <c r="AJ55" s="1241"/>
      <c r="AK55" s="1241"/>
      <c r="AM55" s="1541"/>
      <c r="AN55" s="1541" t="str">
        <f t="shared" si="1"/>
        <v>Добавить территорию для дифференциации</v>
      </c>
      <c r="AO55" s="1541"/>
      <c r="AP55" s="1541"/>
      <c r="AQ55" s="1553">
        <v>1</v>
      </c>
    </row>
    <row r="56" spans="1:43" s="2017" customFormat="1" ht="1" customHeight="1">
      <c r="A56" s="1291"/>
      <c r="B56" s="1291"/>
      <c r="C56" s="1291"/>
      <c r="D56" s="1291"/>
      <c r="E56" s="1292"/>
      <c r="F56" s="1291"/>
      <c r="G56" s="1291"/>
      <c r="H56" s="1291"/>
      <c r="I56" s="1291"/>
      <c r="J56" s="1291"/>
      <c r="K56" s="1291"/>
      <c r="L56" s="1294"/>
      <c r="M56" s="1296"/>
      <c r="N56" s="1296"/>
      <c r="O56" s="285"/>
      <c r="P56" s="1233"/>
      <c r="Q56" s="1234"/>
      <c r="R56" s="1233"/>
      <c r="S56" s="1239"/>
      <c r="T56" s="1242" t="s">
        <v>189</v>
      </c>
      <c r="U56" s="1241"/>
      <c r="V56" s="1241"/>
      <c r="W56" s="1241"/>
      <c r="X56" s="1241"/>
      <c r="Y56" s="1241"/>
      <c r="Z56" s="1241"/>
      <c r="AA56" s="1241"/>
      <c r="AB56" s="1241"/>
      <c r="AC56" s="1241"/>
      <c r="AD56" s="1241"/>
      <c r="AE56" s="1241"/>
      <c r="AF56" s="1241"/>
      <c r="AG56" s="1241"/>
      <c r="AH56" s="1241"/>
      <c r="AI56" s="1241"/>
      <c r="AJ56" s="1241"/>
      <c r="AK56" s="1241"/>
      <c r="AM56" s="1168"/>
      <c r="AN56" s="1168" t="str">
        <f t="shared" si="1"/>
        <v>Добавить наименование тарифа</v>
      </c>
      <c r="AO56" s="1168"/>
      <c r="AP56" s="1168"/>
      <c r="AQ56" s="1559">
        <v>1</v>
      </c>
    </row>
    <row r="57" spans="1:43" ht="11.5" customHeight="1">
      <c r="M57" s="1548"/>
      <c r="N57" s="1548"/>
      <c r="O57" s="1552"/>
      <c r="P57" s="1283"/>
      <c r="Q57" s="1283"/>
      <c r="R57" s="1548"/>
      <c r="S57" s="1548"/>
      <c r="AL57" s="1548"/>
      <c r="AM57" s="1548"/>
      <c r="AN57" s="1548"/>
      <c r="AO57" s="1548"/>
      <c r="AP57" s="1548"/>
      <c r="AQ57" s="1548">
        <v>11</v>
      </c>
    </row>
    <row r="58" spans="1:43" ht="20" customHeight="1">
      <c r="O58" s="1552"/>
      <c r="S58" s="1170"/>
      <c r="T58" s="3219"/>
      <c r="U58" s="3219"/>
      <c r="V58" s="3219"/>
      <c r="W58" s="3219"/>
      <c r="X58" s="3219"/>
      <c r="Y58" s="3219"/>
      <c r="Z58" s="3219"/>
      <c r="AA58" s="3219"/>
      <c r="AB58" s="3219"/>
      <c r="AC58" s="3219"/>
      <c r="AD58" s="3219"/>
      <c r="AE58" s="3219"/>
      <c r="AF58" s="3219"/>
      <c r="AG58" s="3219"/>
      <c r="AH58" s="3219"/>
      <c r="AI58" s="3219"/>
      <c r="AJ58" s="3219"/>
      <c r="AK58" s="3219"/>
      <c r="AQ58" s="1548">
        <v>19</v>
      </c>
    </row>
    <row r="59" spans="1:43" ht="21" customHeight="1">
      <c r="O59" s="1552"/>
      <c r="T59" s="3219"/>
      <c r="U59" s="3219"/>
      <c r="V59" s="3219"/>
      <c r="W59" s="3219"/>
      <c r="X59" s="3219"/>
      <c r="Y59" s="3219"/>
      <c r="Z59" s="3219"/>
      <c r="AA59" s="3219"/>
      <c r="AB59" s="3219"/>
      <c r="AC59" s="3219"/>
      <c r="AD59" s="3219"/>
      <c r="AE59" s="3219"/>
      <c r="AF59" s="3219"/>
      <c r="AG59" s="3219"/>
      <c r="AH59" s="3219"/>
      <c r="AI59" s="3219"/>
      <c r="AJ59" s="3219"/>
      <c r="AK59" s="3219"/>
      <c r="AQ59" s="1548">
        <v>20</v>
      </c>
    </row>
    <row r="60" spans="1:43" ht="14.65" customHeight="1">
      <c r="O60" s="1552"/>
      <c r="T60" s="1864"/>
      <c r="U60" s="1864"/>
      <c r="V60" s="1864"/>
      <c r="W60" s="1864"/>
      <c r="X60" s="1864"/>
      <c r="Y60" s="1864"/>
      <c r="Z60" s="1864"/>
      <c r="AA60" s="1864"/>
      <c r="AB60" s="1864"/>
      <c r="AC60" s="1864"/>
      <c r="AD60" s="1864"/>
      <c r="AE60" s="1864"/>
      <c r="AF60" s="1864"/>
      <c r="AG60" s="1864"/>
      <c r="AH60" s="1864"/>
      <c r="AI60" s="1864"/>
      <c r="AJ60" s="1864"/>
      <c r="AK60" s="1864"/>
      <c r="AQ60" s="1548">
        <v>14</v>
      </c>
    </row>
    <row r="61" spans="1:43" ht="20" customHeight="1">
      <c r="O61" s="1552"/>
      <c r="T61" s="3219"/>
      <c r="U61" s="3219"/>
      <c r="V61" s="3219"/>
      <c r="W61" s="3219"/>
      <c r="X61" s="3219"/>
      <c r="Y61" s="3219"/>
      <c r="Z61" s="3219"/>
      <c r="AA61" s="3219"/>
      <c r="AB61" s="3219"/>
      <c r="AC61" s="3219"/>
      <c r="AD61" s="3219"/>
      <c r="AE61" s="3219"/>
      <c r="AF61" s="3219"/>
      <c r="AG61" s="3219"/>
      <c r="AH61" s="3219"/>
      <c r="AI61" s="3219"/>
      <c r="AJ61" s="3219"/>
      <c r="AK61" s="3219"/>
      <c r="AQ61" s="1548">
        <v>19</v>
      </c>
    </row>
    <row r="62" spans="1:43" ht="16.75" customHeight="1">
      <c r="O62" s="1552"/>
      <c r="T62" s="3219"/>
      <c r="U62" s="3219"/>
      <c r="V62" s="3219"/>
      <c r="W62" s="3219"/>
      <c r="X62" s="3219"/>
      <c r="Y62" s="3219"/>
      <c r="Z62" s="3219"/>
      <c r="AA62" s="3219"/>
      <c r="AB62" s="3219"/>
      <c r="AC62" s="3219"/>
      <c r="AD62" s="3219"/>
      <c r="AE62" s="3219"/>
      <c r="AF62" s="3219"/>
      <c r="AG62" s="3219"/>
      <c r="AH62" s="3219"/>
      <c r="AI62" s="3219"/>
      <c r="AJ62" s="3219"/>
      <c r="AK62" s="3219"/>
      <c r="AQ62" s="1548">
        <v>16</v>
      </c>
    </row>
    <row r="63" spans="1:43" ht="14.65" customHeight="1">
      <c r="O63" s="1552"/>
      <c r="AQ63" s="1548">
        <v>14</v>
      </c>
    </row>
    <row r="64" spans="1:43" ht="22.5" hidden="1" customHeight="1">
      <c r="A64" s="1548" t="s">
        <v>83</v>
      </c>
      <c r="B64" s="1548">
        <v>0</v>
      </c>
      <c r="C64" s="1548">
        <v>0</v>
      </c>
      <c r="D64" s="1548">
        <v>0</v>
      </c>
      <c r="E64" s="1548">
        <v>0</v>
      </c>
      <c r="F64" s="1548">
        <v>0</v>
      </c>
      <c r="G64" s="1548">
        <v>0</v>
      </c>
      <c r="H64" s="1548">
        <v>0</v>
      </c>
      <c r="I64" s="1548">
        <v>0</v>
      </c>
      <c r="J64" s="1548">
        <v>0</v>
      </c>
      <c r="K64" s="1548">
        <v>0</v>
      </c>
      <c r="L64" s="1850">
        <v>0</v>
      </c>
      <c r="M64" s="1876">
        <v>0</v>
      </c>
      <c r="N64" s="1876">
        <v>0</v>
      </c>
      <c r="O64" s="1876">
        <v>0</v>
      </c>
      <c r="P64" s="1279">
        <v>3</v>
      </c>
      <c r="Q64" s="1288">
        <v>3</v>
      </c>
      <c r="R64" s="279">
        <v>3</v>
      </c>
      <c r="S64" s="515">
        <v>12</v>
      </c>
      <c r="T64" s="1548">
        <v>31</v>
      </c>
      <c r="U64" s="1548">
        <v>0</v>
      </c>
      <c r="V64" s="1548">
        <v>0</v>
      </c>
      <c r="W64" s="1548">
        <v>0</v>
      </c>
      <c r="X64" s="1548">
        <v>0</v>
      </c>
      <c r="Y64" s="1548">
        <v>0</v>
      </c>
      <c r="Z64" s="1548">
        <v>0</v>
      </c>
      <c r="AA64" s="1548">
        <v>0</v>
      </c>
      <c r="AB64" s="1548">
        <v>27</v>
      </c>
      <c r="AC64" s="1548">
        <v>24</v>
      </c>
      <c r="AD64" s="1548">
        <v>21</v>
      </c>
      <c r="AE64" s="1548">
        <v>21</v>
      </c>
      <c r="AF64" s="1548">
        <v>11</v>
      </c>
      <c r="AG64" s="1548">
        <v>3</v>
      </c>
      <c r="AH64" s="1548">
        <v>11</v>
      </c>
      <c r="AI64" s="1548">
        <v>8</v>
      </c>
      <c r="AJ64" s="1548">
        <v>4</v>
      </c>
      <c r="AK64" s="1548">
        <v>115</v>
      </c>
      <c r="AL64" s="1553">
        <v>10</v>
      </c>
      <c r="AM64" s="1553">
        <v>10</v>
      </c>
      <c r="AN64" s="1553">
        <v>10</v>
      </c>
      <c r="AO64" s="1553">
        <v>10</v>
      </c>
      <c r="AP64" s="1553">
        <v>10</v>
      </c>
      <c r="AQ64" s="1548">
        <v>23</v>
      </c>
    </row>
  </sheetData>
  <sheetProtection insertRows="0" deleteColumns="0" deleteRows="0" sort="0" autoFilter="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xr:uid="{00000000-0002-0000-1800-000000000000}">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xr:uid="{00000000-0002-0000-1800-000001000000}"/>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xr:uid="{00000000-0002-0000-1800-000002000000}">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xr:uid="{00000000-0002-0000-1800-000003000000}">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xr:uid="{00000000-0002-0000-1800-000004000000}"/>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xr:uid="{00000000-0002-0000-1800-000005000000}">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xr:uid="{00000000-0002-0000-1800-000006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xr:uid="{00000000-0002-0000-1800-000007000000}"/>
    <dataValidation type="list" allowBlank="1" showInputMessage="1" showErrorMessage="1" errorTitle="Ошибка" error="Выберите значение из списка" sqref="T65584 T131120 T196656 T262192 T327728 T393264 T458800 T524336 T589872 T655408 T720944 T786480 T852016 T917552 T983088" xr:uid="{00000000-0002-0000-1800-000008000000}">
      <formula1>kind_of_heat_transfer</formula1>
    </dataValidation>
    <dataValidation type="list" allowBlank="1" showInputMessage="1" showErrorMessage="1" errorTitle="Ошибка" error="Выберите значение из списка" prompt="Выберите значение из списка" sqref="AD39:AE39" xr:uid="{00000000-0002-0000-1800-000009000000}">
      <formula1>UNIT_CONNECT_LIST</formula1>
    </dataValidation>
    <dataValidation allowBlank="1" errorTitle="Ошибка" error="Выберите значение из списка" sqref="V39:W39" xr:uid="{00000000-0002-0000-1800-00000A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C3D006-9B09-8895-4A5C-6CFAADC6595E}">
  <sheetPr>
    <tabColor theme="6" tint="0.39997558519241921"/>
  </sheetPr>
  <dimension ref="A1:BI69"/>
  <sheetViews>
    <sheetView showGridLines="0" topLeftCell="R27" zoomScale="90" workbookViewId="0"/>
  </sheetViews>
  <sheetFormatPr defaultColWidth="10.59765625" defaultRowHeight="14.25" customHeight="1"/>
  <cols>
    <col min="1" max="1" width="11.59765625" style="2016" hidden="1" customWidth="1"/>
    <col min="2" max="2" width="11" style="2016" hidden="1" customWidth="1"/>
    <col min="3" max="3" width="10.59765625" style="2016" hidden="1"/>
    <col min="4" max="4" width="12.796875" style="2016" hidden="1" customWidth="1"/>
    <col min="5" max="5" width="10" style="2016" hidden="1" customWidth="1"/>
    <col min="6" max="6" width="8.69921875" style="2016" hidden="1" customWidth="1"/>
    <col min="7" max="7" width="7.59765625" style="2016" hidden="1" customWidth="1"/>
    <col min="8" max="8" width="11.3984375" style="2016" hidden="1" customWidth="1"/>
    <col min="9" max="9" width="12" style="2016" hidden="1" customWidth="1"/>
    <col min="10" max="10" width="9.796875" style="2016" hidden="1" customWidth="1"/>
    <col min="11" max="11" width="11.3984375" style="2016" hidden="1" customWidth="1"/>
    <col min="12" max="12" width="19.09765625" style="2216" hidden="1" customWidth="1"/>
    <col min="13" max="14" width="12.296875" style="2006" hidden="1" customWidth="1"/>
    <col min="15" max="15" width="23.3984375" style="2006" hidden="1" customWidth="1"/>
    <col min="16" max="16" width="3.69921875" style="2006" hidden="1" customWidth="1"/>
    <col min="17" max="17" width="3.69921875" style="2214" hidden="1" customWidth="1"/>
    <col min="18" max="18" width="3" style="2215" customWidth="1"/>
    <col min="19" max="19" width="12" style="2218" customWidth="1"/>
    <col min="20" max="20" width="31" style="2004" customWidth="1"/>
    <col min="21" max="21" width="9.765625E-2" style="2004" customWidth="1"/>
    <col min="22" max="25" width="21.69921875" style="2004" hidden="1" customWidth="1"/>
    <col min="26" max="26" width="11.69921875" style="2004" hidden="1" customWidth="1"/>
    <col min="27" max="27" width="3.69921875" style="2004" hidden="1" customWidth="1"/>
    <col min="28" max="28" width="11.69921875" style="2004" hidden="1" customWidth="1"/>
    <col min="29" max="29" width="8.59765625" style="2004" hidden="1" customWidth="1"/>
    <col min="30" max="30" width="3.69921875" style="2004" customWidth="1"/>
    <col min="31" max="32" width="3" style="2004" customWidth="1"/>
    <col min="33" max="33" width="24" style="2004" customWidth="1"/>
    <col min="34" max="34" width="3.69921875" style="2004" customWidth="1"/>
    <col min="35" max="36" width="3" style="2004" customWidth="1"/>
    <col min="37" max="37" width="24" style="2004" customWidth="1"/>
    <col min="38" max="38" width="3.69921875" style="2004" customWidth="1"/>
    <col min="39" max="40" width="3" style="2004" customWidth="1"/>
    <col min="41" max="41" width="18" style="2004" customWidth="1"/>
    <col min="42" max="42" width="3.69921875" style="2004" customWidth="1"/>
    <col min="43" max="44" width="3" style="2004" customWidth="1"/>
    <col min="45" max="45" width="18" style="2004" customWidth="1"/>
    <col min="46" max="49" width="21" style="2004" customWidth="1"/>
    <col min="50" max="50" width="11" style="2004" customWidth="1"/>
    <col min="51" max="51" width="3.69921875" style="2004" customWidth="1"/>
    <col min="52" max="52" width="11" style="2004" customWidth="1"/>
    <col min="53" max="53" width="8.59765625" style="2004" hidden="1" customWidth="1"/>
    <col min="54" max="54" width="4" style="2004" customWidth="1"/>
    <col min="55" max="55" width="115" style="2004" customWidth="1"/>
    <col min="56" max="60" width="10" style="2017" customWidth="1"/>
    <col min="61" max="61" width="10.59765625" style="2004" hidden="1"/>
  </cols>
  <sheetData>
    <row r="1" spans="1:61" ht="22.5" hidden="1" customHeight="1">
      <c r="W1" s="262"/>
      <c r="Y1" s="262"/>
      <c r="Z1" s="262"/>
      <c r="AW1" s="262"/>
      <c r="AX1" s="262"/>
      <c r="BI1" s="1072" t="s">
        <v>14</v>
      </c>
    </row>
    <row r="2" spans="1:61" ht="21" hidden="1" customHeight="1">
      <c r="A2" s="1280"/>
      <c r="B2" s="1280"/>
      <c r="C2" s="1280"/>
      <c r="D2" s="1280"/>
      <c r="E2" s="3199">
        <v>1</v>
      </c>
      <c r="F2" s="1280"/>
      <c r="G2" s="1280"/>
      <c r="H2" s="1280"/>
      <c r="I2" s="1280"/>
      <c r="J2" s="1280"/>
      <c r="K2" s="1280"/>
      <c r="L2" s="1281"/>
      <c r="M2" s="1282"/>
      <c r="N2" s="1282"/>
      <c r="O2" s="1282"/>
      <c r="P2" s="1326"/>
      <c r="Q2" s="797"/>
      <c r="R2" s="289"/>
      <c r="S2" s="1382" t="e">
        <f>INDEX(PT_DIFFERENTIATION_NUM_NTAR,MATCH(A2,PT_DIFFERENTIATION_NTAR_ID,0))</f>
        <v>#N/A</v>
      </c>
      <c r="T2" s="233" t="s">
        <v>137</v>
      </c>
      <c r="U2" s="235"/>
      <c r="V2" s="3186"/>
      <c r="W2" s="3186"/>
      <c r="X2" s="3186"/>
      <c r="Y2" s="3186"/>
      <c r="Z2" s="3186"/>
      <c r="AA2" s="3186"/>
      <c r="AB2" s="3186"/>
      <c r="AC2" s="3187"/>
      <c r="AD2" s="3185" t="e">
        <f>INDEX(PT_DIFFERENTIATION_NTAR,MATCH(A2,PT_DIFFERENTIATION_NTAR_ID,0))</f>
        <v>#N/A</v>
      </c>
      <c r="AE2" s="3186"/>
      <c r="AF2" s="3186"/>
      <c r="AG2" s="3186"/>
      <c r="AH2" s="3186"/>
      <c r="AI2" s="3186"/>
      <c r="AJ2" s="3186"/>
      <c r="AK2" s="3186"/>
      <c r="AL2" s="3186"/>
      <c r="AM2" s="3186"/>
      <c r="AN2" s="3186"/>
      <c r="AO2" s="3186"/>
      <c r="AP2" s="3186"/>
      <c r="AQ2" s="3186"/>
      <c r="AR2" s="3186"/>
      <c r="AS2" s="3186"/>
      <c r="AT2" s="3186"/>
      <c r="AU2" s="3186"/>
      <c r="AV2" s="3186"/>
      <c r="AW2" s="3186"/>
      <c r="AX2" s="3186"/>
      <c r="AY2" s="3186"/>
      <c r="AZ2" s="3186"/>
      <c r="BA2" s="3186"/>
      <c r="BB2" s="3187"/>
      <c r="BC2"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4"/>
      <c r="BF2" s="434" t="str">
        <f t="shared" ref="BF2:BF8" si="0">IF(T2="","",T2)</f>
        <v>Наименование тарифа</v>
      </c>
      <c r="BG2" s="434"/>
      <c r="BH2" s="434"/>
      <c r="BI2" s="1072">
        <v>0</v>
      </c>
    </row>
    <row r="3" spans="1:61" ht="21" hidden="1" customHeight="1">
      <c r="A3" s="1280"/>
      <c r="B3" s="1280"/>
      <c r="C3" s="1280"/>
      <c r="D3" s="1280"/>
      <c r="E3" s="3200"/>
      <c r="F3" s="3199">
        <v>1</v>
      </c>
      <c r="G3" s="1280"/>
      <c r="H3" s="1280"/>
      <c r="I3" s="1280"/>
      <c r="J3" s="1280"/>
      <c r="K3" s="1280"/>
      <c r="L3" s="1281"/>
      <c r="M3" s="1282"/>
      <c r="N3" s="1282"/>
      <c r="O3" s="1282"/>
      <c r="P3" s="1327"/>
      <c r="Q3" s="1328"/>
      <c r="R3" s="287"/>
      <c r="S3" s="1382" t="e">
        <f>INDEX(PT_DIFFERENTIATION_NUM_TER,MATCH(B3,PT_DIFFERENTIATION_TER_ID,0))</f>
        <v>#N/A</v>
      </c>
      <c r="T3" s="243" t="s">
        <v>432</v>
      </c>
      <c r="U3" s="235"/>
      <c r="V3" s="3186"/>
      <c r="W3" s="3186"/>
      <c r="X3" s="3186"/>
      <c r="Y3" s="3186"/>
      <c r="Z3" s="3186"/>
      <c r="AA3" s="3186"/>
      <c r="AB3" s="3186"/>
      <c r="AC3" s="3187"/>
      <c r="AD3" s="3185" t="e">
        <f>INDEX(PT_DIFFERENTIATION_TER,MATCH(B3,PT_DIFFERENTIATION_TER_ID,0))</f>
        <v>#N/A</v>
      </c>
      <c r="AE3" s="3186"/>
      <c r="AF3" s="3186"/>
      <c r="AG3" s="3186"/>
      <c r="AH3" s="3186"/>
      <c r="AI3" s="3186"/>
      <c r="AJ3" s="3186"/>
      <c r="AK3" s="3186"/>
      <c r="AL3" s="3186"/>
      <c r="AM3" s="3186"/>
      <c r="AN3" s="3186"/>
      <c r="AO3" s="3186"/>
      <c r="AP3" s="3186"/>
      <c r="AQ3" s="3186"/>
      <c r="AR3" s="3186"/>
      <c r="AS3" s="3186"/>
      <c r="AT3" s="3186"/>
      <c r="AU3" s="3186"/>
      <c r="AV3" s="3186"/>
      <c r="AW3" s="3186"/>
      <c r="AX3" s="3186"/>
      <c r="AY3" s="3186"/>
      <c r="AZ3" s="3186"/>
      <c r="BA3" s="3186"/>
      <c r="BB3" s="3187"/>
      <c r="BC3" s="1175" t="s">
        <v>433</v>
      </c>
      <c r="BE3" s="434"/>
      <c r="BF3" s="434" t="str">
        <f t="shared" si="0"/>
        <v>Территория действия тарифа</v>
      </c>
      <c r="BG3" s="434"/>
      <c r="BH3" s="434"/>
      <c r="BI3" s="1072">
        <v>0</v>
      </c>
    </row>
    <row r="4" spans="1:61" ht="42" hidden="1" customHeight="1">
      <c r="A4" s="1280"/>
      <c r="B4" s="1280"/>
      <c r="C4" s="1280"/>
      <c r="D4" s="1280"/>
      <c r="E4" s="3200"/>
      <c r="F4" s="3200"/>
      <c r="G4" s="3199">
        <v>1</v>
      </c>
      <c r="H4" s="1280"/>
      <c r="I4" s="1280"/>
      <c r="J4" s="1280"/>
      <c r="K4" s="1280"/>
      <c r="L4" s="1281"/>
      <c r="M4" s="1282"/>
      <c r="N4" s="1282"/>
      <c r="O4" s="1282"/>
      <c r="P4" s="1329"/>
      <c r="Q4" s="1328"/>
      <c r="R4" s="287"/>
      <c r="S4" s="1382" t="e">
        <f>INDEX(PT_DIFFERENTIATION_NUM_CS,MATCH(C4,PT_DIFFERENTIATION_CS_ID,0))</f>
        <v>#N/A</v>
      </c>
      <c r="T4" s="244" t="s">
        <v>514</v>
      </c>
      <c r="U4" s="235"/>
      <c r="V4" s="3186"/>
      <c r="W4" s="3186"/>
      <c r="X4" s="3186"/>
      <c r="Y4" s="3186"/>
      <c r="Z4" s="3186"/>
      <c r="AA4" s="3186"/>
      <c r="AB4" s="3186"/>
      <c r="AC4" s="3187"/>
      <c r="AD4" s="3185" t="e">
        <f>INDEX(PT_DIFFERENTIATION_CS,MATCH(C4,PT_DIFFERENTIATION_CS_ID,0))</f>
        <v>#N/A</v>
      </c>
      <c r="AE4" s="3186"/>
      <c r="AF4" s="3186"/>
      <c r="AG4" s="3186"/>
      <c r="AH4" s="3186"/>
      <c r="AI4" s="3186"/>
      <c r="AJ4" s="3186"/>
      <c r="AK4" s="3186"/>
      <c r="AL4" s="3186"/>
      <c r="AM4" s="3186"/>
      <c r="AN4" s="3186"/>
      <c r="AO4" s="3186"/>
      <c r="AP4" s="3186"/>
      <c r="AQ4" s="3186"/>
      <c r="AR4" s="3186"/>
      <c r="AS4" s="3186"/>
      <c r="AT4" s="3186"/>
      <c r="AU4" s="3186"/>
      <c r="AV4" s="3186"/>
      <c r="AW4" s="3186"/>
      <c r="AX4" s="3186"/>
      <c r="AY4" s="3186"/>
      <c r="AZ4" s="3186"/>
      <c r="BA4" s="3186"/>
      <c r="BB4" s="3187"/>
      <c r="BC4" s="1175" t="s">
        <v>515</v>
      </c>
      <c r="BE4" s="434"/>
      <c r="BF4" s="434" t="str">
        <f t="shared" si="0"/>
        <v>Наименование централизованной системы холодного водоснабжения</v>
      </c>
      <c r="BG4" s="434"/>
      <c r="BH4" s="434"/>
      <c r="BI4" s="1072">
        <v>0</v>
      </c>
    </row>
    <row r="5" spans="1:61" s="2017" customFormat="1" ht="14.25" hidden="1" customHeight="1">
      <c r="A5" s="1260"/>
      <c r="B5" s="1260"/>
      <c r="C5" s="1260"/>
      <c r="D5" s="1260"/>
      <c r="E5" s="3200"/>
      <c r="F5" s="3200"/>
      <c r="G5" s="3200"/>
      <c r="H5" s="3199">
        <v>1</v>
      </c>
      <c r="I5" s="1260"/>
      <c r="J5" s="1260"/>
      <c r="K5" s="1260"/>
      <c r="L5" s="1263"/>
      <c r="M5" s="1232"/>
      <c r="N5" s="1232"/>
      <c r="O5" s="1232"/>
      <c r="P5" s="1414"/>
      <c r="Q5" s="1415"/>
      <c r="R5" s="291"/>
      <c r="S5" s="963"/>
      <c r="T5" s="1416"/>
      <c r="U5" s="1301"/>
      <c r="V5" s="3229"/>
      <c r="W5" s="3229"/>
      <c r="X5" s="3229"/>
      <c r="Y5" s="3229"/>
      <c r="Z5" s="3229"/>
      <c r="AA5" s="3229"/>
      <c r="AB5" s="3229"/>
      <c r="AC5" s="3230"/>
      <c r="AD5" s="3228"/>
      <c r="AE5" s="3229"/>
      <c r="AF5" s="3229"/>
      <c r="AG5" s="3229"/>
      <c r="AH5" s="3229"/>
      <c r="AI5" s="3229"/>
      <c r="AJ5" s="3229"/>
      <c r="AK5" s="3229"/>
      <c r="AL5" s="3229"/>
      <c r="AM5" s="3229"/>
      <c r="AN5" s="3229"/>
      <c r="AO5" s="3229"/>
      <c r="AP5" s="3229"/>
      <c r="AQ5" s="3229"/>
      <c r="AR5" s="3229"/>
      <c r="AS5" s="3229"/>
      <c r="AT5" s="3229"/>
      <c r="AU5" s="3229"/>
      <c r="AV5" s="3229"/>
      <c r="AW5" s="3229"/>
      <c r="AX5" s="3229"/>
      <c r="AY5" s="3229"/>
      <c r="AZ5" s="3229"/>
      <c r="BA5" s="3229"/>
      <c r="BB5" s="3230"/>
      <c r="BC5" s="1302" t="s">
        <v>437</v>
      </c>
      <c r="BE5" s="434"/>
      <c r="BF5" s="434" t="str">
        <f t="shared" si="0"/>
        <v/>
      </c>
      <c r="BG5" s="434"/>
      <c r="BH5" s="434"/>
      <c r="BI5" s="445">
        <v>0</v>
      </c>
    </row>
    <row r="6" spans="1:61" s="2017" customFormat="1" ht="14.25" hidden="1" customHeight="1">
      <c r="A6" s="1260"/>
      <c r="B6" s="1260"/>
      <c r="C6" s="1260"/>
      <c r="D6" s="1260"/>
      <c r="E6" s="3200"/>
      <c r="F6" s="3200"/>
      <c r="G6" s="3200"/>
      <c r="H6" s="3200"/>
      <c r="I6" s="3197" t="str">
        <f>S5&amp;".1"</f>
        <v>.1</v>
      </c>
      <c r="J6" s="1260"/>
      <c r="K6" s="1260"/>
      <c r="L6" s="1263" t="s">
        <v>438</v>
      </c>
      <c r="M6" s="444"/>
      <c r="N6" s="444"/>
      <c r="O6" s="444"/>
      <c r="P6" s="3198">
        <v>1</v>
      </c>
      <c r="Q6" s="1379"/>
      <c r="R6" s="290"/>
      <c r="S6" s="963"/>
      <c r="T6" s="1300"/>
      <c r="U6" s="1301"/>
      <c r="V6" s="3229"/>
      <c r="W6" s="3229"/>
      <c r="X6" s="3229"/>
      <c r="Y6" s="3229"/>
      <c r="Z6" s="3229"/>
      <c r="AA6" s="3229"/>
      <c r="AB6" s="3229"/>
      <c r="AC6" s="3230"/>
      <c r="AD6" s="3228"/>
      <c r="AE6" s="3229"/>
      <c r="AF6" s="3229"/>
      <c r="AG6" s="3229"/>
      <c r="AH6" s="3229"/>
      <c r="AI6" s="3229"/>
      <c r="AJ6" s="3229"/>
      <c r="AK6" s="3229"/>
      <c r="AL6" s="3229"/>
      <c r="AM6" s="3229"/>
      <c r="AN6" s="3229"/>
      <c r="AO6" s="3229"/>
      <c r="AP6" s="3229"/>
      <c r="AQ6" s="3229"/>
      <c r="AR6" s="3229"/>
      <c r="AS6" s="3229"/>
      <c r="AT6" s="3229"/>
      <c r="AU6" s="3229"/>
      <c r="AV6" s="3229"/>
      <c r="AW6" s="3229"/>
      <c r="AX6" s="3229"/>
      <c r="AY6" s="3229"/>
      <c r="AZ6" s="3229"/>
      <c r="BA6" s="3229"/>
      <c r="BB6" s="3230"/>
      <c r="BC6" s="1302"/>
      <c r="BE6" s="434"/>
      <c r="BF6" s="434" t="str">
        <f t="shared" si="0"/>
        <v/>
      </c>
      <c r="BG6" s="434"/>
      <c r="BH6" s="434"/>
      <c r="BI6" s="445">
        <v>0</v>
      </c>
    </row>
    <row r="7" spans="1:61" s="2017" customFormat="1" ht="14.25" hidden="1" customHeight="1">
      <c r="A7" s="1260"/>
      <c r="B7" s="1260"/>
      <c r="C7" s="1260"/>
      <c r="D7" s="1260"/>
      <c r="E7" s="3200"/>
      <c r="F7" s="3200"/>
      <c r="G7" s="3200"/>
      <c r="H7" s="3200"/>
      <c r="I7" s="3220"/>
      <c r="J7" s="3197" t="str">
        <f>S5&amp;".1"</f>
        <v>.1</v>
      </c>
      <c r="K7" s="1260"/>
      <c r="L7" s="1263"/>
      <c r="M7" s="444"/>
      <c r="N7" s="444"/>
      <c r="O7" s="444"/>
      <c r="P7" s="3198"/>
      <c r="Q7" s="3198">
        <v>1</v>
      </c>
      <c r="R7" s="291"/>
      <c r="S7" s="963"/>
      <c r="T7" s="1316"/>
      <c r="U7" s="1301"/>
      <c r="V7" s="3229"/>
      <c r="W7" s="3229"/>
      <c r="X7" s="3229"/>
      <c r="Y7" s="3229"/>
      <c r="Z7" s="3229"/>
      <c r="AA7" s="3229"/>
      <c r="AB7" s="3229"/>
      <c r="AC7" s="3230"/>
      <c r="AD7" s="3228"/>
      <c r="AE7" s="3229"/>
      <c r="AF7" s="3229"/>
      <c r="AG7" s="3229"/>
      <c r="AH7" s="3229"/>
      <c r="AI7" s="3229"/>
      <c r="AJ7" s="3229"/>
      <c r="AK7" s="3229"/>
      <c r="AL7" s="3229"/>
      <c r="AM7" s="3229"/>
      <c r="AN7" s="3229"/>
      <c r="AO7" s="3229"/>
      <c r="AP7" s="3229"/>
      <c r="AQ7" s="3229"/>
      <c r="AR7" s="3229"/>
      <c r="AS7" s="3229"/>
      <c r="AT7" s="3229"/>
      <c r="AU7" s="3229"/>
      <c r="AV7" s="3229"/>
      <c r="AW7" s="3229"/>
      <c r="AX7" s="3229"/>
      <c r="AY7" s="3229"/>
      <c r="AZ7" s="3229"/>
      <c r="BA7" s="3229"/>
      <c r="BB7" s="3230"/>
      <c r="BC7" s="1302"/>
      <c r="BE7" s="434"/>
      <c r="BF7" s="434" t="str">
        <f t="shared" si="0"/>
        <v/>
      </c>
      <c r="BG7" s="434"/>
      <c r="BH7" s="434"/>
      <c r="BI7" s="445">
        <v>0</v>
      </c>
    </row>
    <row r="8" spans="1:61" ht="11.25" hidden="1" customHeight="1">
      <c r="A8" s="1280"/>
      <c r="B8" s="1280"/>
      <c r="C8" s="1280"/>
      <c r="D8" s="1280"/>
      <c r="E8" s="3200"/>
      <c r="F8" s="3200"/>
      <c r="G8" s="3200"/>
      <c r="H8" s="3200"/>
      <c r="I8" s="3220"/>
      <c r="J8" s="3220"/>
      <c r="K8" s="3197" t="e">
        <f>S4&amp;".1"</f>
        <v>#N/A</v>
      </c>
      <c r="L8" s="1281"/>
      <c r="P8" s="3198"/>
      <c r="Q8" s="3198"/>
      <c r="R8" s="3263">
        <v>1</v>
      </c>
      <c r="S8" s="3257" t="e">
        <f>$K8</f>
        <v>#N/A</v>
      </c>
      <c r="T8" s="3276"/>
      <c r="U8" s="235"/>
      <c r="V8" s="685"/>
      <c r="W8" s="1174"/>
      <c r="X8" s="685"/>
      <c r="Y8" s="1174"/>
      <c r="Z8" s="1650"/>
      <c r="AA8" s="1376" t="s">
        <v>67</v>
      </c>
      <c r="AB8" s="1650"/>
      <c r="AC8" s="1376" t="s">
        <v>67</v>
      </c>
      <c r="AD8" s="3078" t="s">
        <v>67</v>
      </c>
      <c r="AE8" s="3242"/>
      <c r="AF8" s="3155">
        <v>1</v>
      </c>
      <c r="AG8" s="3279"/>
      <c r="AH8" s="3048" t="s">
        <v>67</v>
      </c>
      <c r="AI8" s="3242"/>
      <c r="AJ8" s="3155">
        <v>1</v>
      </c>
      <c r="AK8" s="3243" t="s">
        <v>28</v>
      </c>
      <c r="AL8" s="3048" t="s">
        <v>67</v>
      </c>
      <c r="AM8" s="3145"/>
      <c r="AN8" s="3155">
        <v>1</v>
      </c>
      <c r="AO8" s="3273"/>
      <c r="AP8" s="3274" t="s">
        <v>67</v>
      </c>
      <c r="AQ8" s="246"/>
      <c r="AR8" s="1380">
        <v>1</v>
      </c>
      <c r="AS8" s="1383" t="s">
        <v>28</v>
      </c>
      <c r="AT8" s="685"/>
      <c r="AU8" s="1174"/>
      <c r="AV8" s="685"/>
      <c r="AW8" s="1174"/>
      <c r="AX8" s="1650"/>
      <c r="AY8" s="1376" t="s">
        <v>67</v>
      </c>
      <c r="AZ8" s="1650"/>
      <c r="BA8" s="1376" t="s">
        <v>67</v>
      </c>
      <c r="BB8" s="1265"/>
      <c r="BC8" s="3194" t="s">
        <v>534</v>
      </c>
      <c r="BE8" s="434"/>
      <c r="BF8" s="434" t="str">
        <f t="shared" si="0"/>
        <v/>
      </c>
      <c r="BG8" s="434"/>
      <c r="BH8" s="434"/>
      <c r="BI8" s="1072">
        <v>0</v>
      </c>
    </row>
    <row r="9" spans="1:61" ht="11.25" hidden="1" customHeight="1">
      <c r="A9" s="1280"/>
      <c r="B9" s="1280"/>
      <c r="C9" s="1280"/>
      <c r="D9" s="1280"/>
      <c r="E9" s="3200"/>
      <c r="F9" s="3200"/>
      <c r="G9" s="3200"/>
      <c r="H9" s="3200"/>
      <c r="I9" s="3220"/>
      <c r="J9" s="3220"/>
      <c r="K9" s="3197"/>
      <c r="L9" s="1281"/>
      <c r="P9" s="3198"/>
      <c r="Q9" s="3198"/>
      <c r="R9" s="3263"/>
      <c r="S9" s="3258"/>
      <c r="T9" s="3277"/>
      <c r="U9" s="235"/>
      <c r="V9" s="1310"/>
      <c r="W9" s="1413"/>
      <c r="X9" s="1310"/>
      <c r="Y9" s="1413"/>
      <c r="Z9" s="1310"/>
      <c r="AA9" s="1310"/>
      <c r="AB9" s="1310"/>
      <c r="AC9" s="1310"/>
      <c r="AD9" s="3079"/>
      <c r="AE9" s="3242"/>
      <c r="AF9" s="3155"/>
      <c r="AG9" s="3279"/>
      <c r="AH9" s="3048"/>
      <c r="AI9" s="3242"/>
      <c r="AJ9" s="3155"/>
      <c r="AK9" s="3243"/>
      <c r="AL9" s="3048"/>
      <c r="AM9" s="3150"/>
      <c r="AN9" s="3155"/>
      <c r="AO9" s="3273"/>
      <c r="AP9" s="3275"/>
      <c r="AQ9" s="251"/>
      <c r="AR9" s="350"/>
      <c r="AS9" s="350" t="s">
        <v>535</v>
      </c>
      <c r="AT9" s="1310"/>
      <c r="AU9" s="1413"/>
      <c r="AV9" s="1310"/>
      <c r="AW9" s="1413"/>
      <c r="AX9" s="1310"/>
      <c r="AY9" s="1310"/>
      <c r="AZ9" s="1310"/>
      <c r="BA9" s="1310"/>
      <c r="BB9" s="1314"/>
      <c r="BC9" s="3195"/>
      <c r="BE9" s="434"/>
      <c r="BF9" s="434"/>
      <c r="BG9" s="434"/>
      <c r="BH9" s="434"/>
      <c r="BI9" s="1072">
        <v>0</v>
      </c>
    </row>
    <row r="10" spans="1:61" ht="11.25" hidden="1" customHeight="1">
      <c r="A10" s="1280"/>
      <c r="B10" s="1280"/>
      <c r="C10" s="1280"/>
      <c r="D10" s="1280"/>
      <c r="E10" s="3200"/>
      <c r="F10" s="3200"/>
      <c r="G10" s="3200"/>
      <c r="H10" s="3200"/>
      <c r="I10" s="3220"/>
      <c r="J10" s="3220"/>
      <c r="K10" s="3197"/>
      <c r="L10" s="1281"/>
      <c r="P10" s="3198"/>
      <c r="Q10" s="3198"/>
      <c r="R10" s="3263"/>
      <c r="S10" s="3258"/>
      <c r="T10" s="3277"/>
      <c r="U10" s="235"/>
      <c r="V10" s="1310"/>
      <c r="W10" s="1413"/>
      <c r="X10" s="1310"/>
      <c r="Y10" s="1413"/>
      <c r="Z10" s="1310"/>
      <c r="AA10" s="1310"/>
      <c r="AB10" s="1310"/>
      <c r="AC10" s="1310"/>
      <c r="AD10" s="3079"/>
      <c r="AE10" s="3242"/>
      <c r="AF10" s="3155"/>
      <c r="AG10" s="3279"/>
      <c r="AH10" s="3048"/>
      <c r="AI10" s="3242"/>
      <c r="AJ10" s="3155"/>
      <c r="AK10" s="3243"/>
      <c r="AL10" s="3048"/>
      <c r="AM10" s="251"/>
      <c r="AN10" s="1417"/>
      <c r="AO10" s="1417" t="s">
        <v>536</v>
      </c>
      <c r="AP10" s="350"/>
      <c r="AQ10" s="350"/>
      <c r="AR10" s="350"/>
      <c r="AS10" s="1310"/>
      <c r="AT10" s="1310"/>
      <c r="AU10" s="1413"/>
      <c r="AV10" s="1310"/>
      <c r="AW10" s="1413"/>
      <c r="AX10" s="1310"/>
      <c r="AY10" s="1310"/>
      <c r="AZ10" s="1310"/>
      <c r="BA10" s="1310"/>
      <c r="BB10" s="1314"/>
      <c r="BC10" s="3195"/>
      <c r="BE10" s="434"/>
      <c r="BF10" s="434"/>
      <c r="BG10" s="434"/>
      <c r="BH10" s="434"/>
      <c r="BI10" s="1072">
        <v>0</v>
      </c>
    </row>
    <row r="11" spans="1:61" ht="11.25" hidden="1" customHeight="1">
      <c r="A11" s="1280"/>
      <c r="B11" s="1280"/>
      <c r="C11" s="1280"/>
      <c r="D11" s="1280"/>
      <c r="E11" s="3200"/>
      <c r="F11" s="3200"/>
      <c r="G11" s="3200"/>
      <c r="H11" s="3200"/>
      <c r="I11" s="3220"/>
      <c r="J11" s="3220"/>
      <c r="K11" s="3197"/>
      <c r="L11" s="1281"/>
      <c r="P11" s="3198"/>
      <c r="Q11" s="3198"/>
      <c r="R11" s="3263"/>
      <c r="S11" s="3258"/>
      <c r="T11" s="3277"/>
      <c r="U11" s="235"/>
      <c r="V11" s="1310"/>
      <c r="W11" s="1413"/>
      <c r="X11" s="1310"/>
      <c r="Y11" s="1413"/>
      <c r="Z11" s="1310"/>
      <c r="AA11" s="1310"/>
      <c r="AB11" s="1310"/>
      <c r="AC11" s="1310"/>
      <c r="AD11" s="3079"/>
      <c r="AE11" s="3242"/>
      <c r="AF11" s="3155"/>
      <c r="AG11" s="3279"/>
      <c r="AH11" s="3048"/>
      <c r="AI11" s="229"/>
      <c r="AJ11" s="349"/>
      <c r="AK11" s="248" t="s">
        <v>537</v>
      </c>
      <c r="AL11" s="1310"/>
      <c r="AM11" s="1310"/>
      <c r="AN11" s="1310"/>
      <c r="AO11" s="1310"/>
      <c r="AP11" s="1310"/>
      <c r="AQ11" s="1310"/>
      <c r="AR11" s="1310"/>
      <c r="AS11" s="1310"/>
      <c r="AT11" s="1310"/>
      <c r="AU11" s="1413"/>
      <c r="AV11" s="1310"/>
      <c r="AW11" s="1413"/>
      <c r="AX11" s="1310"/>
      <c r="AY11" s="1310"/>
      <c r="AZ11" s="1310"/>
      <c r="BA11" s="1310"/>
      <c r="BB11" s="1314"/>
      <c r="BC11" s="3195"/>
      <c r="BE11" s="434"/>
      <c r="BF11" s="434"/>
      <c r="BG11" s="434"/>
      <c r="BH11" s="434"/>
      <c r="BI11" s="1072">
        <v>0</v>
      </c>
    </row>
    <row r="12" spans="1:61" ht="11.25" hidden="1" customHeight="1">
      <c r="A12" s="1280"/>
      <c r="B12" s="1280"/>
      <c r="C12" s="1280"/>
      <c r="D12" s="1280"/>
      <c r="E12" s="3200"/>
      <c r="F12" s="3200"/>
      <c r="G12" s="3200"/>
      <c r="H12" s="3200"/>
      <c r="I12" s="3220"/>
      <c r="J12" s="3220"/>
      <c r="K12" s="3197"/>
      <c r="L12" s="1281"/>
      <c r="P12" s="3198"/>
      <c r="Q12" s="3198"/>
      <c r="R12" s="3263"/>
      <c r="S12" s="3259"/>
      <c r="T12" s="3278"/>
      <c r="U12" s="235"/>
      <c r="V12" s="1310"/>
      <c r="W12" s="1311" t="str">
        <f>Z8&amp;"-"&amp;AB8</f>
        <v>-</v>
      </c>
      <c r="X12" s="1310"/>
      <c r="Y12" s="1311" t="str">
        <f>AB8&amp;"-"&amp;AD8</f>
        <v>-да</v>
      </c>
      <c r="Z12" s="1310"/>
      <c r="AA12" s="1310"/>
      <c r="AB12" s="1310"/>
      <c r="AC12" s="1310"/>
      <c r="AD12" s="3053"/>
      <c r="AE12" s="247"/>
      <c r="AF12" s="249"/>
      <c r="AG12" s="350" t="s">
        <v>538</v>
      </c>
      <c r="AH12" s="1310"/>
      <c r="AI12" s="1310"/>
      <c r="AJ12" s="1310"/>
      <c r="AK12" s="1310"/>
      <c r="AL12" s="1310"/>
      <c r="AM12" s="1310"/>
      <c r="AN12" s="1310"/>
      <c r="AO12" s="1310"/>
      <c r="AP12" s="1310"/>
      <c r="AQ12" s="1310"/>
      <c r="AR12" s="1310"/>
      <c r="AS12" s="1310"/>
      <c r="AT12" s="1310"/>
      <c r="AU12" s="1311" t="str">
        <f>AX8&amp;"-"&amp;AZ8</f>
        <v>-</v>
      </c>
      <c r="AV12" s="1310"/>
      <c r="AW12" s="1311" t="str">
        <f>AZ8&amp;"-"&amp;BB8</f>
        <v>-</v>
      </c>
      <c r="AX12" s="1310"/>
      <c r="AY12" s="1310"/>
      <c r="AZ12" s="1310"/>
      <c r="BA12" s="1310"/>
      <c r="BB12" s="1313" t="str">
        <f>BE8&amp;"-"&amp;BG8</f>
        <v>-</v>
      </c>
      <c r="BC12" s="3195"/>
      <c r="BE12" s="434"/>
      <c r="BF12" s="434" t="str">
        <f t="shared" ref="BF12:BF18" si="1">IF(T12="","",T12)</f>
        <v/>
      </c>
      <c r="BG12" s="434"/>
      <c r="BH12" s="434"/>
      <c r="BI12" s="1072">
        <v>0</v>
      </c>
    </row>
    <row r="13" spans="1:61" ht="11.25" hidden="1" customHeight="1">
      <c r="A13" s="1280"/>
      <c r="B13" s="1280"/>
      <c r="C13" s="1280"/>
      <c r="D13" s="1280"/>
      <c r="E13" s="3200"/>
      <c r="F13" s="3200"/>
      <c r="G13" s="3200"/>
      <c r="H13" s="3200"/>
      <c r="I13" s="3220"/>
      <c r="J13" s="3197"/>
      <c r="K13" s="1280"/>
      <c r="L13" s="1281"/>
      <c r="P13" s="3198"/>
      <c r="Q13" s="3198"/>
      <c r="R13" s="290"/>
      <c r="S13" s="1195"/>
      <c r="T13" s="222" t="s">
        <v>501</v>
      </c>
      <c r="U13" s="301"/>
      <c r="V13" s="301"/>
      <c r="W13" s="301"/>
      <c r="X13" s="301"/>
      <c r="Y13" s="301"/>
      <c r="Z13" s="301"/>
      <c r="AA13" s="301"/>
      <c r="AB13" s="301"/>
      <c r="AC13" s="301"/>
      <c r="AD13" s="1422"/>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259"/>
      <c r="BC13" s="3196"/>
      <c r="BE13" s="434"/>
      <c r="BF13" s="434" t="str">
        <f t="shared" si="1"/>
        <v>Добавить строку</v>
      </c>
      <c r="BG13" s="434"/>
      <c r="BH13" s="434"/>
      <c r="BI13" s="1072">
        <v>0</v>
      </c>
    </row>
    <row r="14" spans="1:61" s="2017" customFormat="1" ht="14.25" hidden="1" customHeight="1">
      <c r="A14" s="1260"/>
      <c r="B14" s="1260"/>
      <c r="C14" s="1260"/>
      <c r="D14" s="1260"/>
      <c r="E14" s="3200"/>
      <c r="F14" s="3200"/>
      <c r="G14" s="3200"/>
      <c r="H14" s="3200"/>
      <c r="I14" s="3197"/>
      <c r="J14" s="1260"/>
      <c r="K14" s="1260"/>
      <c r="L14" s="1263"/>
      <c r="M14" s="444"/>
      <c r="N14" s="444"/>
      <c r="O14" s="444"/>
      <c r="P14" s="3198"/>
      <c r="Q14" s="1379"/>
      <c r="R14" s="290"/>
      <c r="S14" s="1303"/>
      <c r="T14" s="1304"/>
      <c r="U14" s="1305"/>
      <c r="V14" s="1305"/>
      <c r="W14" s="1305"/>
      <c r="X14" s="1305"/>
      <c r="Y14" s="1305"/>
      <c r="Z14" s="1305"/>
      <c r="AA14" s="1305"/>
      <c r="AB14" s="1305"/>
      <c r="AC14" s="1305"/>
      <c r="AD14" s="1305"/>
      <c r="AE14" s="1305"/>
      <c r="AF14" s="1305"/>
      <c r="AG14" s="1305"/>
      <c r="AH14" s="1305"/>
      <c r="AI14" s="1305"/>
      <c r="AJ14" s="1305"/>
      <c r="AK14" s="1305"/>
      <c r="AL14" s="1305"/>
      <c r="AM14" s="1305"/>
      <c r="AN14" s="1305"/>
      <c r="AO14" s="1305"/>
      <c r="AP14" s="1305"/>
      <c r="AQ14" s="1305"/>
      <c r="AR14" s="1305"/>
      <c r="AS14" s="1305"/>
      <c r="AT14" s="1305"/>
      <c r="AU14" s="1305"/>
      <c r="AV14" s="1305"/>
      <c r="AW14" s="1305"/>
      <c r="AX14" s="1305"/>
      <c r="AY14" s="1305"/>
      <c r="AZ14" s="1305"/>
      <c r="BA14" s="1305"/>
      <c r="BB14" s="1305"/>
      <c r="BC14" s="1306"/>
      <c r="BE14" s="434"/>
      <c r="BF14" s="434" t="str">
        <f t="shared" si="1"/>
        <v/>
      </c>
      <c r="BG14" s="434"/>
      <c r="BH14" s="434"/>
      <c r="BI14" s="445">
        <v>0</v>
      </c>
    </row>
    <row r="15" spans="1:61" s="2017" customFormat="1" ht="14.25" hidden="1" customHeight="1">
      <c r="A15" s="1260"/>
      <c r="B15" s="1260"/>
      <c r="C15" s="1260"/>
      <c r="D15" s="1260"/>
      <c r="E15" s="3200"/>
      <c r="F15" s="3200"/>
      <c r="G15" s="3200"/>
      <c r="H15" s="3199"/>
      <c r="I15" s="1260"/>
      <c r="J15" s="1260"/>
      <c r="K15" s="1260"/>
      <c r="L15" s="1263"/>
      <c r="M15" s="1232"/>
      <c r="N15" s="1232"/>
      <c r="O15" s="452"/>
      <c r="P15" s="314"/>
      <c r="Q15" s="1261"/>
      <c r="R15" s="1318"/>
      <c r="S15" s="1303"/>
      <c r="T15" s="1304"/>
      <c r="U15" s="1305"/>
      <c r="V15" s="1305"/>
      <c r="W15" s="1305"/>
      <c r="X15" s="1305"/>
      <c r="Y15" s="1305"/>
      <c r="Z15" s="1305"/>
      <c r="AA15" s="1305"/>
      <c r="AB15" s="1305"/>
      <c r="AC15" s="1305"/>
      <c r="AD15" s="1305"/>
      <c r="AE15" s="1305"/>
      <c r="AF15" s="1305"/>
      <c r="AG15" s="1305"/>
      <c r="AH15" s="1305"/>
      <c r="AI15" s="1305"/>
      <c r="AJ15" s="1305"/>
      <c r="AK15" s="1305"/>
      <c r="AL15" s="1305"/>
      <c r="AM15" s="1305"/>
      <c r="AN15" s="1305"/>
      <c r="AO15" s="1305"/>
      <c r="AP15" s="1305"/>
      <c r="AQ15" s="1305"/>
      <c r="AR15" s="1305"/>
      <c r="AS15" s="1305"/>
      <c r="AT15" s="1305"/>
      <c r="AU15" s="1305"/>
      <c r="AV15" s="1305"/>
      <c r="AW15" s="1305"/>
      <c r="AX15" s="1305"/>
      <c r="AY15" s="1305"/>
      <c r="AZ15" s="1305"/>
      <c r="BA15" s="1305"/>
      <c r="BB15" s="1305"/>
      <c r="BC15" s="1306"/>
      <c r="BE15" s="434"/>
      <c r="BF15" s="434" t="str">
        <f t="shared" si="1"/>
        <v/>
      </c>
      <c r="BG15" s="434"/>
      <c r="BH15" s="434"/>
      <c r="BI15" s="445">
        <v>0</v>
      </c>
    </row>
    <row r="16" spans="1:61" s="2017" customFormat="1" ht="14.25" hidden="1" customHeight="1">
      <c r="A16" s="1260"/>
      <c r="B16" s="1260"/>
      <c r="C16" s="1260"/>
      <c r="D16" s="1231"/>
      <c r="E16" s="3200"/>
      <c r="F16" s="3200"/>
      <c r="G16" s="3199"/>
      <c r="H16" s="1231"/>
      <c r="I16" s="1231"/>
      <c r="J16" s="1231"/>
      <c r="K16" s="1231"/>
      <c r="L16" s="1381"/>
      <c r="M16" s="1232"/>
      <c r="N16" s="1232"/>
      <c r="P16" s="1233"/>
      <c r="Q16" s="1234"/>
      <c r="R16" s="1233"/>
      <c r="S16" s="1239"/>
      <c r="T16" s="1242"/>
      <c r="U16" s="1241"/>
      <c r="V16" s="1241"/>
      <c r="W16" s="1241"/>
      <c r="X16" s="1241"/>
      <c r="Y16" s="1241"/>
      <c r="Z16" s="1241"/>
      <c r="AA16" s="1241"/>
      <c r="AB16" s="1241"/>
      <c r="AC16" s="1241"/>
      <c r="AD16" s="1241"/>
      <c r="AE16" s="1241"/>
      <c r="AF16" s="1241"/>
      <c r="AG16" s="1241"/>
      <c r="AH16" s="1241"/>
      <c r="AI16" s="1241"/>
      <c r="AJ16" s="1241"/>
      <c r="AK16" s="1241"/>
      <c r="AL16" s="1241"/>
      <c r="AM16" s="1241"/>
      <c r="AN16" s="1241"/>
      <c r="AO16" s="1241"/>
      <c r="AP16" s="1241"/>
      <c r="AQ16" s="1241"/>
      <c r="AR16" s="1241"/>
      <c r="AS16" s="1241"/>
      <c r="AT16" s="1241"/>
      <c r="AU16" s="1241"/>
      <c r="AV16" s="1241"/>
      <c r="AW16" s="1241"/>
      <c r="AX16" s="1241"/>
      <c r="AY16" s="1241"/>
      <c r="AZ16" s="1241"/>
      <c r="BA16" s="1241"/>
      <c r="BB16" s="1241"/>
      <c r="BC16" s="1241"/>
      <c r="BE16" s="717"/>
      <c r="BF16" s="717" t="str">
        <f t="shared" si="1"/>
        <v/>
      </c>
      <c r="BG16" s="717"/>
      <c r="BH16" s="717"/>
      <c r="BI16" s="452">
        <v>0</v>
      </c>
    </row>
    <row r="17" spans="1:61" s="2017" customFormat="1" ht="14.25" hidden="1" customHeight="1">
      <c r="A17" s="1260"/>
      <c r="B17" s="1260"/>
      <c r="C17" s="1231"/>
      <c r="D17" s="1231"/>
      <c r="E17" s="3200"/>
      <c r="F17" s="3199"/>
      <c r="G17" s="1231"/>
      <c r="H17" s="1231"/>
      <c r="I17" s="1231"/>
      <c r="J17" s="1231"/>
      <c r="K17" s="1231"/>
      <c r="L17" s="1381"/>
      <c r="M17" s="1238"/>
      <c r="N17" s="1238"/>
      <c r="P17" s="1233"/>
      <c r="Q17" s="1234"/>
      <c r="R17" s="1233"/>
      <c r="S17" s="1239"/>
      <c r="T17" s="1242" t="s">
        <v>181</v>
      </c>
      <c r="U17" s="1241"/>
      <c r="V17" s="1241"/>
      <c r="W17" s="1241"/>
      <c r="X17" s="1241"/>
      <c r="Y17" s="1241"/>
      <c r="Z17" s="1241"/>
      <c r="AA17" s="1241"/>
      <c r="AB17" s="1241"/>
      <c r="AC17" s="1241"/>
      <c r="AD17" s="1241"/>
      <c r="AE17" s="1241"/>
      <c r="AF17" s="1241"/>
      <c r="AG17" s="1241"/>
      <c r="AH17" s="1241"/>
      <c r="AI17" s="1241"/>
      <c r="AJ17" s="1241"/>
      <c r="AK17" s="1241"/>
      <c r="AL17" s="1241"/>
      <c r="AM17" s="1241"/>
      <c r="AN17" s="1241"/>
      <c r="AO17" s="1241"/>
      <c r="AP17" s="1241"/>
      <c r="AQ17" s="1241"/>
      <c r="AR17" s="1241"/>
      <c r="AS17" s="1241"/>
      <c r="AT17" s="1241"/>
      <c r="AU17" s="1241"/>
      <c r="AV17" s="1241"/>
      <c r="AW17" s="1241"/>
      <c r="AX17" s="1241"/>
      <c r="AY17" s="1241"/>
      <c r="AZ17" s="1241"/>
      <c r="BA17" s="1241"/>
      <c r="BB17" s="1241"/>
      <c r="BC17" s="1241"/>
      <c r="BE17" s="717"/>
      <c r="BF17" s="717" t="str">
        <f t="shared" si="1"/>
        <v>Добавить централизованную систему для дифференциации</v>
      </c>
      <c r="BG17" s="717"/>
      <c r="BH17" s="717"/>
      <c r="BI17" s="452">
        <v>0</v>
      </c>
    </row>
    <row r="18" spans="1:61" s="2017" customFormat="1" ht="14.25" hidden="1" customHeight="1">
      <c r="A18" s="1260"/>
      <c r="B18" s="1260"/>
      <c r="C18" s="1260"/>
      <c r="D18" s="1260"/>
      <c r="E18" s="3199"/>
      <c r="F18" s="1260"/>
      <c r="G18" s="1260"/>
      <c r="H18" s="1260"/>
      <c r="I18" s="1260"/>
      <c r="J18" s="1260"/>
      <c r="K18" s="1260"/>
      <c r="L18" s="1263"/>
      <c r="M18" s="1238"/>
      <c r="N18" s="1238"/>
      <c r="O18" s="452"/>
      <c r="P18" s="314"/>
      <c r="Q18" s="1261"/>
      <c r="R18" s="314"/>
      <c r="S18" s="1239"/>
      <c r="T18" s="1242" t="s">
        <v>188</v>
      </c>
      <c r="U18" s="1241"/>
      <c r="V18" s="1241"/>
      <c r="W18" s="1241"/>
      <c r="X18" s="1241"/>
      <c r="Y18" s="1241"/>
      <c r="Z18" s="1241"/>
      <c r="AA18" s="1241"/>
      <c r="AB18" s="1241"/>
      <c r="AC18" s="1241"/>
      <c r="AD18" s="1241"/>
      <c r="AE18" s="1241"/>
      <c r="AF18" s="1241"/>
      <c r="AG18" s="1241"/>
      <c r="AH18" s="1241"/>
      <c r="AI18" s="1241"/>
      <c r="AJ18" s="1241"/>
      <c r="AK18" s="1241"/>
      <c r="AL18" s="1241"/>
      <c r="AM18" s="1241"/>
      <c r="AN18" s="1241"/>
      <c r="AO18" s="1241"/>
      <c r="AP18" s="1241"/>
      <c r="AQ18" s="1241"/>
      <c r="AR18" s="1241"/>
      <c r="AS18" s="1241"/>
      <c r="AT18" s="1241"/>
      <c r="AU18" s="1241"/>
      <c r="AV18" s="1241"/>
      <c r="AW18" s="1241"/>
      <c r="AX18" s="1241"/>
      <c r="AY18" s="1241"/>
      <c r="AZ18" s="1241"/>
      <c r="BA18" s="1241"/>
      <c r="BB18" s="1241"/>
      <c r="BC18" s="1241"/>
      <c r="BE18" s="434"/>
      <c r="BF18" s="434" t="str">
        <f t="shared" si="1"/>
        <v>Добавить территорию для дифференциации</v>
      </c>
      <c r="BG18" s="434"/>
      <c r="BH18" s="434"/>
      <c r="BI18" s="445">
        <v>0</v>
      </c>
    </row>
    <row r="19" spans="1:61" ht="14.25" hidden="1" customHeight="1">
      <c r="AC19" s="262"/>
      <c r="BA19" s="262"/>
      <c r="BI19" s="1072">
        <v>0</v>
      </c>
    </row>
    <row r="20" spans="1:61" ht="14.25" hidden="1" customHeight="1">
      <c r="AD20" s="1241" t="s">
        <v>19</v>
      </c>
      <c r="AE20" s="1418"/>
      <c r="AF20" s="482">
        <v>1</v>
      </c>
      <c r="AG20" s="1419"/>
      <c r="AH20" s="1241" t="s">
        <v>19</v>
      </c>
      <c r="AI20" s="1418"/>
      <c r="AJ20" s="482">
        <v>1</v>
      </c>
      <c r="AK20" s="1419"/>
      <c r="AL20" s="1241" t="s">
        <v>19</v>
      </c>
      <c r="AM20" s="1420"/>
      <c r="AN20" s="482">
        <v>1</v>
      </c>
      <c r="AO20" s="1421"/>
      <c r="AP20" s="1241" t="s">
        <v>19</v>
      </c>
      <c r="AQ20" s="1420"/>
      <c r="AR20" s="482">
        <v>1</v>
      </c>
      <c r="AS20" s="1421"/>
      <c r="AT20" s="260"/>
      <c r="AU20" s="318"/>
      <c r="AV20" s="260"/>
      <c r="AW20" s="318"/>
      <c r="AX20" s="1652"/>
      <c r="AY20" s="1377" t="s">
        <v>67</v>
      </c>
      <c r="AZ20" s="1652"/>
      <c r="BA20" s="1377" t="s">
        <v>67</v>
      </c>
      <c r="BI20" s="1072">
        <v>0</v>
      </c>
    </row>
    <row r="21" spans="1:61" ht="14.25" hidden="1" customHeight="1">
      <c r="BD21" s="430"/>
      <c r="BE21" s="430"/>
      <c r="BF21" s="430"/>
      <c r="BG21" s="430"/>
      <c r="BH21" s="430"/>
      <c r="BI21" s="1072">
        <v>0</v>
      </c>
    </row>
    <row r="22" spans="1:61" ht="14.25" hidden="1" customHeight="1">
      <c r="O22" s="1284" t="s">
        <v>449</v>
      </c>
      <c r="Z22" s="1262"/>
      <c r="AB22" s="1262"/>
      <c r="AC22" s="262"/>
      <c r="AX22" s="1262"/>
      <c r="AZ22" s="1262"/>
      <c r="BA22" s="262"/>
      <c r="BD22" s="430"/>
      <c r="BE22" s="430"/>
      <c r="BF22" s="430"/>
      <c r="BG22" s="430"/>
      <c r="BH22" s="430"/>
      <c r="BI22" s="1072">
        <v>0</v>
      </c>
    </row>
    <row r="23" spans="1:61" ht="14.25" hidden="1" customHeight="1">
      <c r="AC23" s="262"/>
      <c r="BA23" s="262"/>
      <c r="BD23" s="430"/>
      <c r="BE23" s="430"/>
      <c r="BF23" s="430"/>
      <c r="BG23" s="430"/>
      <c r="BH23" s="430"/>
      <c r="BI23" s="1072">
        <v>0</v>
      </c>
    </row>
    <row r="24" spans="1:61" s="2981" customFormat="1" ht="14.25" hidden="1" customHeight="1">
      <c r="M24" s="1425"/>
      <c r="N24" s="1425"/>
      <c r="O24" s="1426" t="s">
        <v>450</v>
      </c>
      <c r="P24" s="1425"/>
      <c r="Q24" s="1427"/>
      <c r="R24" s="1427"/>
      <c r="AA24" s="1424" t="s">
        <v>452</v>
      </c>
      <c r="AC24" s="1424" t="s">
        <v>453</v>
      </c>
      <c r="AD24" s="1424" t="s">
        <v>502</v>
      </c>
      <c r="AH24" s="1424" t="s">
        <v>502</v>
      </c>
      <c r="AK24" s="1424" t="s">
        <v>539</v>
      </c>
      <c r="AL24" s="1424" t="s">
        <v>502</v>
      </c>
      <c r="AP24" s="1424" t="s">
        <v>502</v>
      </c>
      <c r="AY24" s="1424" t="s">
        <v>452</v>
      </c>
      <c r="BA24" s="1424" t="s">
        <v>453</v>
      </c>
      <c r="BD24" s="1428"/>
      <c r="BE24" s="1428"/>
      <c r="BF24" s="1428"/>
      <c r="BG24" s="1428"/>
      <c r="BH24" s="1428"/>
      <c r="BI24" s="1424">
        <v>0</v>
      </c>
    </row>
    <row r="25" spans="1:61" ht="14.25" hidden="1" customHeight="1">
      <c r="O25" s="1281"/>
      <c r="BD25" s="430"/>
      <c r="BE25" s="430"/>
      <c r="BF25" s="430"/>
      <c r="BG25" s="430"/>
      <c r="BH25" s="430"/>
      <c r="BI25" s="1072">
        <v>0</v>
      </c>
    </row>
    <row r="26" spans="1:61" ht="14.25" hidden="1" customHeight="1">
      <c r="O26" s="1281"/>
      <c r="BD26" s="430"/>
      <c r="BE26" s="430"/>
      <c r="BF26" s="430"/>
      <c r="BG26" s="430"/>
      <c r="BH26" s="430"/>
      <c r="BI26" s="1072">
        <v>0</v>
      </c>
    </row>
    <row r="27" spans="1:61" ht="14.65" customHeight="1">
      <c r="Q27" s="226"/>
      <c r="R27" s="310"/>
      <c r="S27" s="1192"/>
      <c r="T27" s="297"/>
      <c r="U27" s="297"/>
      <c r="V27" s="443"/>
      <c r="W27" s="443"/>
      <c r="X27" s="443"/>
      <c r="Y27" s="443"/>
      <c r="Z27" s="443"/>
      <c r="AA27" s="443"/>
      <c r="AB27" s="443"/>
      <c r="AC27" s="443"/>
      <c r="AD27" s="443"/>
      <c r="AE27" s="443"/>
      <c r="AF27" s="443"/>
      <c r="AG27" s="443"/>
      <c r="AH27" s="443"/>
      <c r="AI27" s="443"/>
      <c r="AJ27" s="443"/>
      <c r="AK27" s="443"/>
      <c r="AL27" s="443"/>
      <c r="AM27" s="443"/>
      <c r="AN27" s="443"/>
      <c r="AO27" s="443"/>
      <c r="AP27" s="443"/>
      <c r="AQ27" s="443"/>
      <c r="AR27" s="443"/>
      <c r="AS27" s="443"/>
      <c r="AT27" s="443"/>
      <c r="AU27" s="443"/>
      <c r="AV27" s="443"/>
      <c r="AW27" s="443"/>
      <c r="AX27" s="443"/>
      <c r="AY27" s="443"/>
      <c r="AZ27" s="443"/>
      <c r="BA27" s="443"/>
      <c r="BI27" s="1072">
        <v>14</v>
      </c>
    </row>
    <row r="28" spans="1:61" ht="14.65" customHeight="1">
      <c r="Q28" s="226"/>
      <c r="R28" s="310"/>
      <c r="S28" s="3183"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3183"/>
      <c r="U28" s="3183"/>
      <c r="V28" s="3183"/>
      <c r="W28" s="3183"/>
      <c r="X28" s="3183"/>
      <c r="Y28" s="3183"/>
      <c r="Z28" s="3183"/>
      <c r="AA28" s="3183"/>
      <c r="AB28" s="3183"/>
      <c r="AC28" s="3183"/>
      <c r="AD28" s="3183"/>
      <c r="AE28" s="3183"/>
      <c r="AF28" s="3183"/>
      <c r="AG28" s="3183"/>
      <c r="AH28" s="3183"/>
      <c r="AI28" s="3183"/>
      <c r="AJ28" s="3183"/>
      <c r="AK28" s="3183"/>
      <c r="AL28" s="3183"/>
      <c r="AM28" s="3183"/>
      <c r="AN28" s="3183"/>
      <c r="AO28" s="3183"/>
      <c r="AP28" s="3183"/>
      <c r="AQ28" s="3183"/>
      <c r="AR28" s="3183"/>
      <c r="AS28" s="3183"/>
      <c r="AT28" s="3183"/>
      <c r="AU28" s="3183"/>
      <c r="AV28" s="3183"/>
      <c r="AW28" s="3183"/>
      <c r="AX28" s="3183"/>
      <c r="AY28" s="3183"/>
      <c r="AZ28" s="3183"/>
      <c r="BA28" s="1160"/>
      <c r="BI28" s="1072">
        <v>14</v>
      </c>
    </row>
    <row r="29" spans="1:61" ht="14.65" customHeight="1">
      <c r="Q29" s="226"/>
      <c r="R29" s="310"/>
      <c r="S29" s="3131" t="str">
        <f>IF(org=0,"Не определено",org)</f>
        <v>ООО "РСО"</v>
      </c>
      <c r="T29" s="3131"/>
      <c r="U29" s="3131"/>
      <c r="V29" s="3131"/>
      <c r="W29" s="3131"/>
      <c r="X29" s="3131"/>
      <c r="Y29" s="3131"/>
      <c r="Z29" s="3131"/>
      <c r="AA29" s="3131"/>
      <c r="AB29" s="3131"/>
      <c r="AC29" s="3131"/>
      <c r="AD29" s="3131"/>
      <c r="AE29" s="3131"/>
      <c r="AF29" s="3131"/>
      <c r="AG29" s="3131"/>
      <c r="AH29" s="3131"/>
      <c r="AI29" s="3131"/>
      <c r="AJ29" s="3131"/>
      <c r="AK29" s="3131"/>
      <c r="AL29" s="3131"/>
      <c r="AM29" s="3131"/>
      <c r="AN29" s="3131"/>
      <c r="AO29" s="3131"/>
      <c r="AP29" s="3131"/>
      <c r="AQ29" s="3131"/>
      <c r="AR29" s="3131"/>
      <c r="AS29" s="3131"/>
      <c r="AT29" s="3131"/>
      <c r="AU29" s="3131"/>
      <c r="AV29" s="3131"/>
      <c r="AW29" s="3131"/>
      <c r="AX29" s="3131"/>
      <c r="AY29" s="3131"/>
      <c r="AZ29" s="3131"/>
      <c r="BA29" s="1160"/>
      <c r="BI29" s="1072">
        <v>14</v>
      </c>
    </row>
    <row r="30" spans="1:61" ht="14.25" hidden="1" customHeight="1">
      <c r="Q30" s="226"/>
      <c r="R30" s="310"/>
      <c r="S30" s="1192"/>
      <c r="T30" s="297"/>
      <c r="U30" s="297"/>
      <c r="V30" s="257"/>
      <c r="W30" s="257"/>
      <c r="X30" s="257"/>
      <c r="Y30" s="257"/>
      <c r="Z30" s="257"/>
      <c r="AA30" s="257"/>
      <c r="AB30" s="257"/>
      <c r="AC30" s="257"/>
      <c r="AD30" s="257"/>
      <c r="AE30" s="257"/>
      <c r="AF30" s="257"/>
      <c r="AG30" s="257"/>
      <c r="AH30" s="257"/>
      <c r="AI30" s="257"/>
      <c r="AJ30" s="257"/>
      <c r="AK30" s="257"/>
      <c r="AL30" s="257"/>
      <c r="AM30" s="257"/>
      <c r="AN30" s="257"/>
      <c r="AO30" s="257"/>
      <c r="AP30" s="257"/>
      <c r="AQ30" s="257"/>
      <c r="AR30" s="257"/>
      <c r="AS30" s="257"/>
      <c r="AT30" s="257"/>
      <c r="AU30" s="257"/>
      <c r="AV30" s="257"/>
      <c r="AW30" s="257"/>
      <c r="AX30" s="257"/>
      <c r="AY30" s="257"/>
      <c r="AZ30" s="257"/>
      <c r="BA30" s="257"/>
      <c r="BB30" s="443"/>
      <c r="BI30" s="1072">
        <v>0</v>
      </c>
    </row>
    <row r="31" spans="1:61" s="2028" customFormat="1" ht="25.5" hidden="1" customHeight="1">
      <c r="A31" s="1285"/>
      <c r="B31" s="1285"/>
      <c r="C31" s="1285"/>
      <c r="D31" s="1285"/>
      <c r="E31" s="1285"/>
      <c r="F31" s="1285"/>
      <c r="G31" s="1285"/>
      <c r="H31" s="1285"/>
      <c r="I31" s="1285"/>
      <c r="J31" s="1285"/>
      <c r="K31" s="1285"/>
      <c r="L31" s="1286"/>
      <c r="M31" s="1285"/>
      <c r="N31" s="1285"/>
      <c r="O31" s="1285"/>
      <c r="P31" s="1285"/>
      <c r="Q31" s="1285"/>
      <c r="S31" s="3191" t="s">
        <v>42</v>
      </c>
      <c r="T31" s="3191"/>
      <c r="U31" s="1289"/>
      <c r="V31" s="3192" t="str">
        <f>IF(TITLE_NAME_OR_PR_CHANGE="",IF(TITLE_NAME_OR_PR="","",TITLE_NAME_OR_PR),TITLE_NAME_OR_PR_CHANGE)</f>
        <v/>
      </c>
      <c r="W31" s="3192"/>
      <c r="X31" s="3192"/>
      <c r="Y31" s="3192"/>
      <c r="Z31" s="3192"/>
      <c r="AA31" s="3192"/>
      <c r="AB31" s="3192"/>
      <c r="AC31" s="261"/>
      <c r="AD31" s="3192" t="str">
        <f>IF(TITLE_NAME_OR_PR_CHANGE="",IF(TITLE_NAME_OR_PR="","",TITLE_NAME_OR_PR),TITLE_NAME_OR_PR_CHANGE)</f>
        <v/>
      </c>
      <c r="AE31" s="3192"/>
      <c r="AF31" s="3192"/>
      <c r="AG31" s="3192"/>
      <c r="AH31" s="3192"/>
      <c r="AI31" s="3192"/>
      <c r="AJ31" s="3192"/>
      <c r="AK31" s="3192"/>
      <c r="AL31" s="3192"/>
      <c r="AM31" s="3192"/>
      <c r="AN31" s="3192"/>
      <c r="AO31" s="3192"/>
      <c r="AP31" s="3192"/>
      <c r="AQ31" s="3192"/>
      <c r="AR31" s="3192"/>
      <c r="AS31" s="3192"/>
      <c r="AT31" s="3192"/>
      <c r="AU31" s="3192"/>
      <c r="AV31" s="3192"/>
      <c r="AW31" s="3192"/>
      <c r="AX31" s="3192"/>
      <c r="AY31" s="3192"/>
      <c r="AZ31" s="3192"/>
      <c r="BA31" s="261"/>
      <c r="BB31" s="261"/>
      <c r="BC31" s="215"/>
      <c r="BD31" s="302"/>
      <c r="BE31" s="302"/>
      <c r="BF31" s="302"/>
      <c r="BG31" s="302"/>
      <c r="BH31" s="302"/>
      <c r="BI31" s="352">
        <v>0</v>
      </c>
    </row>
    <row r="32" spans="1:61" s="2028" customFormat="1" ht="18.75" hidden="1" customHeight="1">
      <c r="A32" s="1285"/>
      <c r="B32" s="1285"/>
      <c r="C32" s="1285"/>
      <c r="D32" s="1285"/>
      <c r="E32" s="1285"/>
      <c r="F32" s="1285"/>
      <c r="G32" s="1285"/>
      <c r="H32" s="1285"/>
      <c r="I32" s="1285"/>
      <c r="J32" s="1285"/>
      <c r="K32" s="1285"/>
      <c r="L32" s="1286"/>
      <c r="M32" s="1285"/>
      <c r="N32" s="1285"/>
      <c r="O32" s="1285"/>
      <c r="P32" s="1285"/>
      <c r="Q32" s="1285"/>
      <c r="S32" s="3191" t="s">
        <v>455</v>
      </c>
      <c r="T32" s="3191"/>
      <c r="U32" s="1289"/>
      <c r="V32" s="3201">
        <f>IF(TITLE_DATE_PR_CHANGE="",IF(TITLE_DATE_PR="","",TITLE_DATE_PR),TITLE_DATE_PR_CHANGE)</f>
        <v>45408</v>
      </c>
      <c r="W32" s="3201"/>
      <c r="X32" s="3201"/>
      <c r="Y32" s="3201"/>
      <c r="Z32" s="3201"/>
      <c r="AA32" s="3201"/>
      <c r="AB32" s="3201"/>
      <c r="AC32" s="261"/>
      <c r="AD32" s="3201">
        <f>IF(TITLE_DATE_PR_CHANGE="",IF(TITLE_DATE_PR="","",TITLE_DATE_PR),TITLE_DATE_PR_CHANGE)</f>
        <v>45408</v>
      </c>
      <c r="AE32" s="3201"/>
      <c r="AF32" s="3201"/>
      <c r="AG32" s="3201"/>
      <c r="AH32" s="3201"/>
      <c r="AI32" s="3201"/>
      <c r="AJ32" s="3201"/>
      <c r="AK32" s="3201"/>
      <c r="AL32" s="3201"/>
      <c r="AM32" s="3201"/>
      <c r="AN32" s="3201"/>
      <c r="AO32" s="3201"/>
      <c r="AP32" s="3201"/>
      <c r="AQ32" s="3201"/>
      <c r="AR32" s="3201"/>
      <c r="AS32" s="3201"/>
      <c r="AT32" s="3201"/>
      <c r="AU32" s="3201"/>
      <c r="AV32" s="3201"/>
      <c r="AW32" s="3201"/>
      <c r="AX32" s="3201"/>
      <c r="AY32" s="3201"/>
      <c r="AZ32" s="3201"/>
      <c r="BA32" s="261"/>
      <c r="BB32" s="261"/>
      <c r="BC32" s="215"/>
      <c r="BD32" s="302"/>
      <c r="BE32" s="302"/>
      <c r="BF32" s="302"/>
      <c r="BG32" s="302"/>
      <c r="BH32" s="302"/>
      <c r="BI32" s="352">
        <v>0</v>
      </c>
    </row>
    <row r="33" spans="1:61" s="2028" customFormat="1" ht="18.75" hidden="1" customHeight="1">
      <c r="A33" s="1285"/>
      <c r="B33" s="1285"/>
      <c r="C33" s="1285"/>
      <c r="D33" s="1285"/>
      <c r="E33" s="1285"/>
      <c r="F33" s="1285"/>
      <c r="G33" s="1285"/>
      <c r="H33" s="1285"/>
      <c r="I33" s="1285"/>
      <c r="J33" s="1285"/>
      <c r="K33" s="1285"/>
      <c r="L33" s="1286"/>
      <c r="M33" s="1285"/>
      <c r="N33" s="1285"/>
      <c r="O33" s="1285"/>
      <c r="P33" s="1285"/>
      <c r="Q33" s="1285"/>
      <c r="S33" s="3191" t="s">
        <v>456</v>
      </c>
      <c r="T33" s="3191"/>
      <c r="U33" s="1289"/>
      <c r="V33" s="3192" t="str">
        <f>IF(TITLE_NUMBER_PR_CHANGE="",IF(TITLE_NUMBER_PR="","",TITLE_NUMBER_PR),TITLE_NUMBER_PR_CHANGE)</f>
        <v>04-24/132, 04-24/131</v>
      </c>
      <c r="W33" s="3192"/>
      <c r="X33" s="3192"/>
      <c r="Y33" s="3192"/>
      <c r="Z33" s="3192"/>
      <c r="AA33" s="3192"/>
      <c r="AB33" s="3192"/>
      <c r="AC33" s="261"/>
      <c r="AD33" s="3192" t="str">
        <f>IF(TITLE_NUMBER_PR_CHANGE="",IF(TITLE_NUMBER_PR="","",TITLE_NUMBER_PR),TITLE_NUMBER_PR_CHANGE)</f>
        <v>04-24/132, 04-24/131</v>
      </c>
      <c r="AE33" s="3192"/>
      <c r="AF33" s="3192"/>
      <c r="AG33" s="3192"/>
      <c r="AH33" s="3192"/>
      <c r="AI33" s="3192"/>
      <c r="AJ33" s="3192"/>
      <c r="AK33" s="3192"/>
      <c r="AL33" s="3192"/>
      <c r="AM33" s="3192"/>
      <c r="AN33" s="3192"/>
      <c r="AO33" s="3192"/>
      <c r="AP33" s="3192"/>
      <c r="AQ33" s="3192"/>
      <c r="AR33" s="3192"/>
      <c r="AS33" s="3192"/>
      <c r="AT33" s="3192"/>
      <c r="AU33" s="3192"/>
      <c r="AV33" s="3192"/>
      <c r="AW33" s="3192"/>
      <c r="AX33" s="3192"/>
      <c r="AY33" s="3192"/>
      <c r="AZ33" s="3192"/>
      <c r="BA33" s="261"/>
      <c r="BB33" s="261"/>
      <c r="BC33" s="215"/>
      <c r="BD33" s="302"/>
      <c r="BE33" s="302"/>
      <c r="BF33" s="302"/>
      <c r="BG33" s="302"/>
      <c r="BH33" s="302"/>
      <c r="BI33" s="352">
        <v>0</v>
      </c>
    </row>
    <row r="34" spans="1:61" s="2028" customFormat="1" ht="18.75" hidden="1" customHeight="1">
      <c r="A34" s="1285"/>
      <c r="B34" s="1285"/>
      <c r="C34" s="1285"/>
      <c r="D34" s="1285"/>
      <c r="E34" s="1285"/>
      <c r="F34" s="1285"/>
      <c r="G34" s="1285"/>
      <c r="H34" s="1285"/>
      <c r="I34" s="1285"/>
      <c r="J34" s="1285"/>
      <c r="K34" s="1285"/>
      <c r="L34" s="1286"/>
      <c r="M34" s="1285"/>
      <c r="N34" s="1285"/>
      <c r="O34" s="1285"/>
      <c r="P34" s="1285"/>
      <c r="Q34" s="1285"/>
      <c r="S34" s="3191" t="s">
        <v>43</v>
      </c>
      <c r="T34" s="3191"/>
      <c r="U34" s="1289"/>
      <c r="V34" s="3192" t="str">
        <f>IF(TITLE_IST_PUB_CHANGE="",IF(TITLE_IST_PUB="","",TITLE_IST_PUB),TITLE_IST_PUB_CHANGE)</f>
        <v/>
      </c>
      <c r="W34" s="3192"/>
      <c r="X34" s="3192"/>
      <c r="Y34" s="3192"/>
      <c r="Z34" s="3192"/>
      <c r="AA34" s="3192"/>
      <c r="AB34" s="3192"/>
      <c r="AC34" s="261"/>
      <c r="AD34" s="3192" t="str">
        <f>IF(TITLE_IST_PUB_CHANGE="",IF(TITLE_IST_PUB="","",TITLE_IST_PUB),TITLE_IST_PUB_CHANGE)</f>
        <v/>
      </c>
      <c r="AE34" s="3192"/>
      <c r="AF34" s="3192"/>
      <c r="AG34" s="3192"/>
      <c r="AH34" s="3192"/>
      <c r="AI34" s="3192"/>
      <c r="AJ34" s="3192"/>
      <c r="AK34" s="3192"/>
      <c r="AL34" s="3192"/>
      <c r="AM34" s="3192"/>
      <c r="AN34" s="3192"/>
      <c r="AO34" s="3192"/>
      <c r="AP34" s="3192"/>
      <c r="AQ34" s="3192"/>
      <c r="AR34" s="3192"/>
      <c r="AS34" s="3192"/>
      <c r="AT34" s="3192"/>
      <c r="AU34" s="3192"/>
      <c r="AV34" s="3192"/>
      <c r="AW34" s="3192"/>
      <c r="AX34" s="3192"/>
      <c r="AY34" s="3192"/>
      <c r="AZ34" s="3192"/>
      <c r="BA34" s="261"/>
      <c r="BB34" s="261"/>
      <c r="BC34" s="215"/>
      <c r="BD34" s="302"/>
      <c r="BE34" s="302"/>
      <c r="BF34" s="302"/>
      <c r="BG34" s="302"/>
      <c r="BH34" s="302"/>
      <c r="BI34" s="352">
        <v>0</v>
      </c>
    </row>
    <row r="35" spans="1:61" ht="14.25" customHeight="1">
      <c r="Q35" s="226"/>
      <c r="R35" s="310"/>
      <c r="S35" s="1192"/>
      <c r="T35" s="297"/>
      <c r="U35" s="297"/>
      <c r="V35" s="257"/>
      <c r="W35" s="257"/>
      <c r="X35" s="257"/>
      <c r="Y35" s="257"/>
      <c r="Z35" s="257"/>
      <c r="AA35" s="257"/>
      <c r="AB35" s="257"/>
      <c r="AC35" s="257"/>
      <c r="AD35" s="257"/>
      <c r="AE35" s="257"/>
      <c r="AF35" s="257"/>
      <c r="AG35" s="257"/>
      <c r="AH35" s="257"/>
      <c r="AI35" s="257"/>
      <c r="AJ35" s="257"/>
      <c r="AK35" s="257"/>
      <c r="AL35" s="257"/>
      <c r="AM35" s="257"/>
      <c r="AN35" s="257"/>
      <c r="AO35" s="257"/>
      <c r="AP35" s="257"/>
      <c r="AQ35" s="257"/>
      <c r="AR35" s="257"/>
      <c r="AS35" s="257"/>
      <c r="AT35" s="257"/>
      <c r="AU35" s="257"/>
      <c r="AV35" s="257"/>
      <c r="AW35" s="257"/>
      <c r="AX35" s="257"/>
      <c r="AY35" s="257"/>
      <c r="AZ35" s="257"/>
      <c r="BA35" s="257"/>
      <c r="BB35" s="443"/>
      <c r="BI35" s="1072">
        <v>0</v>
      </c>
    </row>
    <row r="36" spans="1:61" s="2028" customFormat="1" ht="18.75" customHeight="1">
      <c r="A36" s="1285"/>
      <c r="B36" s="1285"/>
      <c r="C36" s="1285"/>
      <c r="D36" s="1285"/>
      <c r="E36" s="1285"/>
      <c r="F36" s="1285"/>
      <c r="G36" s="1285"/>
      <c r="H36" s="1285"/>
      <c r="I36" s="1285"/>
      <c r="J36" s="1285"/>
      <c r="K36" s="1285"/>
      <c r="L36" s="1286"/>
      <c r="M36" s="1285"/>
      <c r="N36" s="1285"/>
      <c r="O36" s="1285"/>
      <c r="P36" s="1285"/>
      <c r="Q36" s="1285"/>
      <c r="S36" s="3191" t="s">
        <v>455</v>
      </c>
      <c r="T36" s="3191"/>
      <c r="U36" s="1289"/>
      <c r="V36" s="3201">
        <f>IF(TITLE_DATE_PR_CHANGE="",IF(TITLE_DATE_PR="","",TITLE_DATE_PR),TITLE_DATE_PR_CHANGE)</f>
        <v>45408</v>
      </c>
      <c r="W36" s="3201"/>
      <c r="X36" s="3201"/>
      <c r="Y36" s="3201"/>
      <c r="Z36" s="3201"/>
      <c r="AA36" s="3201"/>
      <c r="AB36" s="3201"/>
      <c r="AC36" s="261"/>
      <c r="AD36" s="3201">
        <f>IF(TITLE_DATE_PR_CHANGE="",IF(TITLE_DATE_PR="","",TITLE_DATE_PR),TITLE_DATE_PR_CHANGE)</f>
        <v>45408</v>
      </c>
      <c r="AE36" s="3201"/>
      <c r="AF36" s="3201"/>
      <c r="AG36" s="3201"/>
      <c r="AH36" s="3201"/>
      <c r="AI36" s="3201"/>
      <c r="AJ36" s="3201"/>
      <c r="AK36" s="3201"/>
      <c r="AL36" s="3201"/>
      <c r="AM36" s="3201"/>
      <c r="AN36" s="3201"/>
      <c r="AO36" s="3201"/>
      <c r="AP36" s="3201"/>
      <c r="AQ36" s="3201"/>
      <c r="AR36" s="3201"/>
      <c r="AS36" s="3201"/>
      <c r="AT36" s="3201"/>
      <c r="AU36" s="3201"/>
      <c r="AV36" s="3201"/>
      <c r="AW36" s="3201"/>
      <c r="AX36" s="3201"/>
      <c r="AY36" s="3201"/>
      <c r="AZ36" s="3201"/>
      <c r="BA36" s="261"/>
      <c r="BB36" s="261"/>
      <c r="BC36" s="215"/>
      <c r="BD36" s="302"/>
      <c r="BE36" s="302"/>
      <c r="BF36" s="302"/>
      <c r="BG36" s="302"/>
      <c r="BH36" s="302"/>
      <c r="BI36" s="352">
        <v>0</v>
      </c>
    </row>
    <row r="37" spans="1:61" s="2028" customFormat="1" ht="18.75" customHeight="1">
      <c r="A37" s="1285"/>
      <c r="B37" s="1285"/>
      <c r="C37" s="1285"/>
      <c r="D37" s="1285"/>
      <c r="E37" s="1285"/>
      <c r="F37" s="1285"/>
      <c r="G37" s="1285"/>
      <c r="H37" s="1285"/>
      <c r="I37" s="1285"/>
      <c r="J37" s="1285"/>
      <c r="K37" s="1285"/>
      <c r="L37" s="1286"/>
      <c r="M37" s="1285"/>
      <c r="N37" s="1285"/>
      <c r="O37" s="1285"/>
      <c r="P37" s="1285"/>
      <c r="Q37" s="1285"/>
      <c r="S37" s="3191" t="s">
        <v>456</v>
      </c>
      <c r="T37" s="3191"/>
      <c r="U37" s="1289"/>
      <c r="V37" s="3192" t="str">
        <f>IF(TITLE_NUMBER_PR_CHANGE="",IF(TITLE_NUMBER_PR="","",TITLE_NUMBER_PR),TITLE_NUMBER_PR_CHANGE)</f>
        <v>04-24/132, 04-24/131</v>
      </c>
      <c r="W37" s="3192"/>
      <c r="X37" s="3192"/>
      <c r="Y37" s="3192"/>
      <c r="Z37" s="3192"/>
      <c r="AA37" s="3192"/>
      <c r="AB37" s="3192"/>
      <c r="AC37" s="261"/>
      <c r="AD37" s="3192" t="str">
        <f>IF(TITLE_NUMBER_PR_CHANGE="",IF(TITLE_NUMBER_PR="","",TITLE_NUMBER_PR),TITLE_NUMBER_PR_CHANGE)</f>
        <v>04-24/132, 04-24/131</v>
      </c>
      <c r="AE37" s="3192"/>
      <c r="AF37" s="3192"/>
      <c r="AG37" s="3192"/>
      <c r="AH37" s="3192"/>
      <c r="AI37" s="3192"/>
      <c r="AJ37" s="3192"/>
      <c r="AK37" s="3192"/>
      <c r="AL37" s="3192"/>
      <c r="AM37" s="3192"/>
      <c r="AN37" s="3192"/>
      <c r="AO37" s="3192"/>
      <c r="AP37" s="3192"/>
      <c r="AQ37" s="3192"/>
      <c r="AR37" s="3192"/>
      <c r="AS37" s="3192"/>
      <c r="AT37" s="3192"/>
      <c r="AU37" s="3192"/>
      <c r="AV37" s="3192"/>
      <c r="AW37" s="3192"/>
      <c r="AX37" s="3192"/>
      <c r="AY37" s="3192"/>
      <c r="AZ37" s="3192"/>
      <c r="BA37" s="261"/>
      <c r="BB37" s="261"/>
      <c r="BC37" s="215"/>
      <c r="BD37" s="302"/>
      <c r="BE37" s="302"/>
      <c r="BF37" s="302"/>
      <c r="BG37" s="302"/>
      <c r="BH37" s="302"/>
      <c r="BI37" s="352">
        <v>0</v>
      </c>
    </row>
    <row r="38" spans="1:61" s="2028" customFormat="1" ht="0" hidden="1" customHeight="1">
      <c r="A38" s="1285"/>
      <c r="B38" s="1285"/>
      <c r="C38" s="1285"/>
      <c r="D38" s="1285"/>
      <c r="E38" s="1285"/>
      <c r="F38" s="1285"/>
      <c r="G38" s="1285"/>
      <c r="H38" s="1285"/>
      <c r="I38" s="1285"/>
      <c r="J38" s="1285"/>
      <c r="K38" s="1285"/>
      <c r="L38" s="1286"/>
      <c r="M38" s="1285"/>
      <c r="N38" s="1285"/>
      <c r="O38" s="1285"/>
      <c r="P38" s="1285"/>
      <c r="Q38" s="1285"/>
      <c r="S38" s="258"/>
      <c r="T38" s="258"/>
      <c r="U38" s="1371"/>
      <c r="V38" s="261"/>
      <c r="W38" s="261"/>
      <c r="X38" s="261"/>
      <c r="Y38" s="261"/>
      <c r="Z38" s="261"/>
      <c r="AA38" s="261"/>
      <c r="AB38" s="261"/>
      <c r="AC38" s="213" t="s">
        <v>459</v>
      </c>
      <c r="AD38" s="261"/>
      <c r="AE38" s="261"/>
      <c r="AF38" s="261"/>
      <c r="AG38" s="261"/>
      <c r="AH38" s="261"/>
      <c r="AI38" s="261"/>
      <c r="AJ38" s="261"/>
      <c r="AK38" s="261"/>
      <c r="AL38" s="261"/>
      <c r="AM38" s="261"/>
      <c r="AN38" s="261"/>
      <c r="AO38" s="261"/>
      <c r="AP38" s="261"/>
      <c r="AQ38" s="261"/>
      <c r="AR38" s="261"/>
      <c r="AS38" s="261"/>
      <c r="AT38" s="261"/>
      <c r="AU38" s="261"/>
      <c r="AV38" s="261"/>
      <c r="AW38" s="261"/>
      <c r="AX38" s="261"/>
      <c r="AY38" s="261"/>
      <c r="AZ38" s="261"/>
      <c r="BA38" s="213" t="s">
        <v>459</v>
      </c>
      <c r="BD38" s="302"/>
      <c r="BE38" s="302"/>
      <c r="BF38" s="302"/>
      <c r="BG38" s="302"/>
      <c r="BH38" s="302"/>
      <c r="BI38" s="352">
        <v>0</v>
      </c>
    </row>
    <row r="39" spans="1:61" ht="14.65" customHeight="1">
      <c r="Q39" s="226"/>
      <c r="R39" s="310"/>
      <c r="S39" s="1192"/>
      <c r="T39" s="297"/>
      <c r="U39" s="1161"/>
      <c r="V39" s="3193"/>
      <c r="W39" s="3193"/>
      <c r="X39" s="3193"/>
      <c r="Y39" s="3193"/>
      <c r="Z39" s="3193"/>
      <c r="AA39" s="3193"/>
      <c r="AB39" s="3193"/>
      <c r="AC39" s="3193"/>
      <c r="AD39" s="3193"/>
      <c r="AE39" s="3193"/>
      <c r="AF39" s="3193"/>
      <c r="AG39" s="3193"/>
      <c r="AH39" s="3193"/>
      <c r="AI39" s="3193"/>
      <c r="AJ39" s="3193"/>
      <c r="AK39" s="3193"/>
      <c r="AL39" s="3193"/>
      <c r="AM39" s="3193"/>
      <c r="AN39" s="3193"/>
      <c r="AO39" s="3193"/>
      <c r="AP39" s="3193"/>
      <c r="AQ39" s="3193"/>
      <c r="AR39" s="3193"/>
      <c r="AS39" s="3193"/>
      <c r="AT39" s="3193"/>
      <c r="AU39" s="3193"/>
      <c r="AV39" s="3193"/>
      <c r="AW39" s="3193"/>
      <c r="AX39" s="3193"/>
      <c r="AY39" s="3193"/>
      <c r="AZ39" s="3193"/>
      <c r="BA39" s="3193"/>
      <c r="BI39" s="1072">
        <v>14</v>
      </c>
    </row>
    <row r="40" spans="1:61" ht="14.65" customHeight="1">
      <c r="Q40" s="226"/>
      <c r="R40" s="310"/>
      <c r="S40" s="3067" t="s">
        <v>335</v>
      </c>
      <c r="T40" s="3067"/>
      <c r="U40" s="3067"/>
      <c r="V40" s="3067"/>
      <c r="W40" s="3067"/>
      <c r="X40" s="3067"/>
      <c r="Y40" s="3067"/>
      <c r="Z40" s="3067"/>
      <c r="AA40" s="3067"/>
      <c r="AB40" s="3067"/>
      <c r="AC40" s="3067"/>
      <c r="AD40" s="3067"/>
      <c r="AE40" s="3067"/>
      <c r="AF40" s="3067"/>
      <c r="AG40" s="3067"/>
      <c r="AH40" s="3067"/>
      <c r="AI40" s="3067"/>
      <c r="AJ40" s="3067"/>
      <c r="AK40" s="3067"/>
      <c r="AL40" s="3067"/>
      <c r="AM40" s="3067"/>
      <c r="AN40" s="3067"/>
      <c r="AO40" s="3067"/>
      <c r="AP40" s="3067"/>
      <c r="AQ40" s="3067"/>
      <c r="AR40" s="3067"/>
      <c r="AS40" s="3067"/>
      <c r="AT40" s="3067"/>
      <c r="AU40" s="3067"/>
      <c r="AV40" s="3067"/>
      <c r="AW40" s="3067"/>
      <c r="AX40" s="3067"/>
      <c r="AY40" s="3067"/>
      <c r="AZ40" s="3067"/>
      <c r="BA40" s="3067"/>
      <c r="BB40" s="3067"/>
      <c r="BC40" s="3067" t="s">
        <v>336</v>
      </c>
      <c r="BI40" s="1072">
        <v>14</v>
      </c>
    </row>
    <row r="41" spans="1:61" ht="14.65" customHeight="1">
      <c r="Q41" s="226"/>
      <c r="R41" s="310"/>
      <c r="S41" s="3207" t="s">
        <v>89</v>
      </c>
      <c r="T41" s="3159" t="s">
        <v>540</v>
      </c>
      <c r="U41" s="236"/>
      <c r="V41" s="3208" t="s">
        <v>461</v>
      </c>
      <c r="W41" s="3209"/>
      <c r="X41" s="3209"/>
      <c r="Y41" s="3209"/>
      <c r="Z41" s="3209"/>
      <c r="AA41" s="3209"/>
      <c r="AB41" s="3210"/>
      <c r="AC41" s="3211" t="s">
        <v>462</v>
      </c>
      <c r="AD41" s="3244" t="s">
        <v>541</v>
      </c>
      <c r="AE41" s="3225"/>
      <c r="AF41" s="3225"/>
      <c r="AG41" s="3245"/>
      <c r="AH41" s="3244" t="s">
        <v>542</v>
      </c>
      <c r="AI41" s="3225"/>
      <c r="AJ41" s="3225"/>
      <c r="AK41" s="3245"/>
      <c r="AL41" s="3244" t="s">
        <v>543</v>
      </c>
      <c r="AM41" s="3225"/>
      <c r="AN41" s="3225"/>
      <c r="AO41" s="3245"/>
      <c r="AP41" s="3244" t="s">
        <v>544</v>
      </c>
      <c r="AQ41" s="3225"/>
      <c r="AR41" s="3225"/>
      <c r="AS41" s="3245"/>
      <c r="AT41" s="3208" t="s">
        <v>461</v>
      </c>
      <c r="AU41" s="3209"/>
      <c r="AV41" s="3209"/>
      <c r="AW41" s="3209"/>
      <c r="AX41" s="3209"/>
      <c r="AY41" s="3209"/>
      <c r="AZ41" s="3210"/>
      <c r="BA41" s="3211" t="s">
        <v>462</v>
      </c>
      <c r="BB41" s="3214" t="s">
        <v>464</v>
      </c>
      <c r="BC41" s="3067"/>
      <c r="BI41" s="1072">
        <v>14</v>
      </c>
    </row>
    <row r="42" spans="1:61" ht="35.65" customHeight="1">
      <c r="Q42" s="226"/>
      <c r="R42" s="310"/>
      <c r="S42" s="3207"/>
      <c r="T42" s="3159"/>
      <c r="U42" s="952"/>
      <c r="V42" s="3145" t="s">
        <v>545</v>
      </c>
      <c r="W42" s="3146"/>
      <c r="X42" s="3145" t="s">
        <v>546</v>
      </c>
      <c r="Y42" s="3146"/>
      <c r="Z42" s="3145" t="s">
        <v>547</v>
      </c>
      <c r="AA42" s="3239"/>
      <c r="AB42" s="3146"/>
      <c r="AC42" s="3212"/>
      <c r="AD42" s="3246"/>
      <c r="AE42" s="3247"/>
      <c r="AF42" s="3247"/>
      <c r="AG42" s="3248"/>
      <c r="AH42" s="3246"/>
      <c r="AI42" s="3247"/>
      <c r="AJ42" s="3247"/>
      <c r="AK42" s="3248"/>
      <c r="AL42" s="3246"/>
      <c r="AM42" s="3247"/>
      <c r="AN42" s="3247"/>
      <c r="AO42" s="3248"/>
      <c r="AP42" s="3246"/>
      <c r="AQ42" s="3247"/>
      <c r="AR42" s="3247"/>
      <c r="AS42" s="3248"/>
      <c r="AT42" s="3145" t="s">
        <v>545</v>
      </c>
      <c r="AU42" s="3146"/>
      <c r="AV42" s="3145" t="s">
        <v>546</v>
      </c>
      <c r="AW42" s="3146"/>
      <c r="AX42" s="3145" t="s">
        <v>547</v>
      </c>
      <c r="AY42" s="3239"/>
      <c r="AZ42" s="3146"/>
      <c r="BA42" s="3212"/>
      <c r="BB42" s="3215"/>
      <c r="BC42" s="3067"/>
      <c r="BI42" s="1072">
        <v>34</v>
      </c>
    </row>
    <row r="43" spans="1:61" ht="14.65" customHeight="1">
      <c r="Q43" s="226"/>
      <c r="R43" s="310"/>
      <c r="S43" s="3207"/>
      <c r="T43" s="3159"/>
      <c r="U43" s="952"/>
      <c r="V43" s="3150"/>
      <c r="W43" s="3151"/>
      <c r="X43" s="3150"/>
      <c r="Y43" s="3151"/>
      <c r="Z43" s="3150"/>
      <c r="AA43" s="3240"/>
      <c r="AB43" s="3151"/>
      <c r="AC43" s="3212"/>
      <c r="AD43" s="3246"/>
      <c r="AE43" s="3247"/>
      <c r="AF43" s="3247"/>
      <c r="AG43" s="3248"/>
      <c r="AH43" s="3246"/>
      <c r="AI43" s="3247"/>
      <c r="AJ43" s="3247"/>
      <c r="AK43" s="3248"/>
      <c r="AL43" s="3246"/>
      <c r="AM43" s="3247"/>
      <c r="AN43" s="3247"/>
      <c r="AO43" s="3248"/>
      <c r="AP43" s="3246"/>
      <c r="AQ43" s="3247"/>
      <c r="AR43" s="3247"/>
      <c r="AS43" s="3248"/>
      <c r="AT43" s="3150"/>
      <c r="AU43" s="3151"/>
      <c r="AV43" s="3150"/>
      <c r="AW43" s="3151"/>
      <c r="AX43" s="3150"/>
      <c r="AY43" s="3240"/>
      <c r="AZ43" s="3151"/>
      <c r="BA43" s="3212"/>
      <c r="BB43" s="3215"/>
      <c r="BC43" s="3067"/>
      <c r="BI43" s="1072">
        <v>14</v>
      </c>
    </row>
    <row r="44" spans="1:61" ht="14.65" customHeight="1">
      <c r="A44" s="1287"/>
      <c r="B44" s="1287" t="s">
        <v>149</v>
      </c>
      <c r="C44" s="1287" t="s">
        <v>150</v>
      </c>
      <c r="D44" s="1287" t="s">
        <v>151</v>
      </c>
      <c r="E44" s="1281" t="s">
        <v>469</v>
      </c>
      <c r="F44" s="1281" t="s">
        <v>470</v>
      </c>
      <c r="G44" s="1281" t="s">
        <v>471</v>
      </c>
      <c r="H44" s="1281" t="s">
        <v>472</v>
      </c>
      <c r="I44" s="1281" t="s">
        <v>473</v>
      </c>
      <c r="J44" s="1281" t="s">
        <v>474</v>
      </c>
      <c r="K44" s="1281" t="s">
        <v>475</v>
      </c>
      <c r="L44" s="1281" t="s">
        <v>450</v>
      </c>
      <c r="Q44" s="226"/>
      <c r="R44" s="310"/>
      <c r="S44" s="3207"/>
      <c r="T44" s="3159"/>
      <c r="U44" s="237"/>
      <c r="V44" s="1365" t="s">
        <v>511</v>
      </c>
      <c r="W44" s="1365" t="s">
        <v>512</v>
      </c>
      <c r="X44" s="1365" t="s">
        <v>511</v>
      </c>
      <c r="Y44" s="1365" t="s">
        <v>512</v>
      </c>
      <c r="Z44" s="1372" t="s">
        <v>478</v>
      </c>
      <c r="AA44" s="3167" t="s">
        <v>479</v>
      </c>
      <c r="AB44" s="3169"/>
      <c r="AC44" s="3213"/>
      <c r="AD44" s="3249"/>
      <c r="AE44" s="3250"/>
      <c r="AF44" s="3250"/>
      <c r="AG44" s="3251"/>
      <c r="AH44" s="3249"/>
      <c r="AI44" s="3250"/>
      <c r="AJ44" s="3250"/>
      <c r="AK44" s="3251"/>
      <c r="AL44" s="3249"/>
      <c r="AM44" s="3250"/>
      <c r="AN44" s="3250"/>
      <c r="AO44" s="3251"/>
      <c r="AP44" s="3249"/>
      <c r="AQ44" s="3250"/>
      <c r="AR44" s="3250"/>
      <c r="AS44" s="3251"/>
      <c r="AT44" s="1365" t="s">
        <v>511</v>
      </c>
      <c r="AU44" s="1365" t="s">
        <v>512</v>
      </c>
      <c r="AV44" s="1365" t="s">
        <v>511</v>
      </c>
      <c r="AW44" s="1365" t="s">
        <v>512</v>
      </c>
      <c r="AX44" s="1372" t="s">
        <v>478</v>
      </c>
      <c r="AY44" s="3167" t="s">
        <v>479</v>
      </c>
      <c r="AZ44" s="3169"/>
      <c r="BA44" s="3213"/>
      <c r="BB44" s="3216"/>
      <c r="BC44" s="3067"/>
      <c r="BI44" s="1072">
        <v>14</v>
      </c>
    </row>
    <row r="45" spans="1:61" s="2212" customFormat="1" ht="11.25" hidden="1" customHeight="1">
      <c r="A45" s="1287"/>
      <c r="B45" s="1287"/>
      <c r="C45" s="1287"/>
      <c r="D45" s="1287"/>
      <c r="E45" s="1287"/>
      <c r="F45" s="1287"/>
      <c r="G45" s="1287"/>
      <c r="H45" s="1287"/>
      <c r="I45" s="1287"/>
      <c r="J45" s="1287"/>
      <c r="K45" s="1287"/>
      <c r="L45" s="1281"/>
      <c r="M45" s="1279"/>
      <c r="N45" s="1279"/>
      <c r="O45" s="1279"/>
      <c r="P45" s="444"/>
      <c r="Q45" s="1171"/>
      <c r="R45" s="1171">
        <v>1</v>
      </c>
      <c r="S45" s="1194" t="s">
        <v>124</v>
      </c>
      <c r="T45" s="1172" t="s">
        <v>104</v>
      </c>
      <c r="U45" s="1162" t="str">
        <f ca="1">OFFSET(U45,0,-1)</f>
        <v>2</v>
      </c>
      <c r="V45" s="1368">
        <f t="shared" ref="V45:AA45" ca="1" si="2">OFFSET(V45,0,-1)+1</f>
        <v>3</v>
      </c>
      <c r="W45" s="1368">
        <f t="shared" ca="1" si="2"/>
        <v>4</v>
      </c>
      <c r="X45" s="1368">
        <f t="shared" ca="1" si="2"/>
        <v>5</v>
      </c>
      <c r="Y45" s="1368">
        <f t="shared" ca="1" si="2"/>
        <v>6</v>
      </c>
      <c r="Z45" s="1368">
        <f t="shared" ca="1" si="2"/>
        <v>7</v>
      </c>
      <c r="AA45" s="3206">
        <f t="shared" ca="1" si="2"/>
        <v>8</v>
      </c>
      <c r="AB45" s="3206"/>
      <c r="AC45" s="1368">
        <f ca="1">OFFSET(AC45,0,-2)+1</f>
        <v>9</v>
      </c>
      <c r="AD45" s="1368">
        <f ca="1">OFFSET(AD45,0,-1)+1</f>
        <v>10</v>
      </c>
      <c r="AE45" s="1368"/>
      <c r="AF45" s="1368"/>
      <c r="AG45" s="1368"/>
      <c r="AH45" s="1368"/>
      <c r="AI45" s="1368"/>
      <c r="AJ45" s="1368"/>
      <c r="AK45" s="1368"/>
      <c r="AL45" s="1368"/>
      <c r="AM45" s="1368"/>
      <c r="AN45" s="1368"/>
      <c r="AO45" s="1368"/>
      <c r="AP45" s="1368"/>
      <c r="AQ45" s="1368"/>
      <c r="AR45" s="1368"/>
      <c r="AS45" s="1368"/>
      <c r="AT45" s="1368"/>
      <c r="AU45" s="1368"/>
      <c r="AV45" s="1368"/>
      <c r="AW45" s="1368">
        <f ca="1">OFFSET(AW45,0,-1)+1</f>
        <v>1</v>
      </c>
      <c r="AX45" s="1368">
        <f ca="1">OFFSET(AX45,0,-1)+1</f>
        <v>2</v>
      </c>
      <c r="AY45" s="3206">
        <f ca="1">OFFSET(AY45,0,-1)+1</f>
        <v>3</v>
      </c>
      <c r="AZ45" s="3206"/>
      <c r="BA45" s="1368">
        <f ca="1">OFFSET(BA45,0,-2)+1</f>
        <v>4</v>
      </c>
      <c r="BB45" s="1162">
        <f ca="1">OFFSET(BB45,0,-1)</f>
        <v>4</v>
      </c>
      <c r="BC45" s="1368">
        <f ca="1">OFFSET(BC45,0,-1)+1</f>
        <v>5</v>
      </c>
      <c r="BD45" s="445"/>
      <c r="BE45" s="445"/>
      <c r="BF45" s="445"/>
      <c r="BG45" s="445"/>
      <c r="BH45" s="445"/>
      <c r="BI45" s="430">
        <v>0</v>
      </c>
    </row>
    <row r="46" spans="1:61" ht="22" customHeight="1">
      <c r="A46" s="1280" t="s">
        <v>281</v>
      </c>
      <c r="B46" s="1280"/>
      <c r="C46" s="1280"/>
      <c r="D46" s="1280"/>
      <c r="E46" s="3199">
        <v>1</v>
      </c>
      <c r="F46" s="1280"/>
      <c r="G46" s="1280"/>
      <c r="H46" s="1280"/>
      <c r="I46" s="1280"/>
      <c r="J46" s="1280"/>
      <c r="K46" s="1280"/>
      <c r="L46" s="1281"/>
      <c r="M46" s="1282"/>
      <c r="N46" s="1282"/>
      <c r="O46" s="1282"/>
      <c r="P46" s="1326"/>
      <c r="Q46" s="797"/>
      <c r="R46" s="289"/>
      <c r="S46" s="1374">
        <f>INDEX(PT_DIFFERENTIATION_NUM_NTAR,MATCH(A46,PT_DIFFERENTIATION_NTAR_ID,0))</f>
        <v>0</v>
      </c>
      <c r="T46" s="233" t="s">
        <v>137</v>
      </c>
      <c r="U46" s="235"/>
      <c r="V46" s="3186"/>
      <c r="W46" s="3186"/>
      <c r="X46" s="3186"/>
      <c r="Y46" s="3186"/>
      <c r="Z46" s="3186"/>
      <c r="AA46" s="3186"/>
      <c r="AB46" s="3186"/>
      <c r="AC46" s="3187"/>
      <c r="AD46" s="3185" t="str">
        <f>INDEX(PT_DIFFERENTIATION_NTAR,MATCH(A46,PT_DIFFERENTIATION_NTAR_ID,0))</f>
        <v/>
      </c>
      <c r="AE46" s="3186"/>
      <c r="AF46" s="3186"/>
      <c r="AG46" s="3186"/>
      <c r="AH46" s="3186"/>
      <c r="AI46" s="3186"/>
      <c r="AJ46" s="3186"/>
      <c r="AK46" s="3186"/>
      <c r="AL46" s="3186"/>
      <c r="AM46" s="3186"/>
      <c r="AN46" s="3186"/>
      <c r="AO46" s="3186"/>
      <c r="AP46" s="3186"/>
      <c r="AQ46" s="3186"/>
      <c r="AR46" s="3186"/>
      <c r="AS46" s="3186"/>
      <c r="AT46" s="3186"/>
      <c r="AU46" s="3186"/>
      <c r="AV46" s="3186"/>
      <c r="AW46" s="3186"/>
      <c r="AX46" s="3186"/>
      <c r="AY46" s="3186"/>
      <c r="AZ46" s="3186"/>
      <c r="BA46" s="3186"/>
      <c r="BB46" s="3187"/>
      <c r="BC46"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4"/>
      <c r="BF46" s="434" t="str">
        <f t="shared" ref="BF46:BF52" si="3">IF(T46="","",T46)</f>
        <v>Наименование тарифа</v>
      </c>
      <c r="BG46" s="434"/>
      <c r="BH46" s="434"/>
      <c r="BI46" s="1072">
        <v>21</v>
      </c>
    </row>
    <row r="47" spans="1:61" ht="22" customHeight="1">
      <c r="A47" s="1280" t="s">
        <v>281</v>
      </c>
      <c r="B47" s="1280" t="s">
        <v>282</v>
      </c>
      <c r="C47" s="1280"/>
      <c r="D47" s="1280"/>
      <c r="E47" s="3200"/>
      <c r="F47" s="3199">
        <v>1</v>
      </c>
      <c r="G47" s="1280"/>
      <c r="H47" s="1280"/>
      <c r="I47" s="1280"/>
      <c r="J47" s="1280"/>
      <c r="K47" s="1280"/>
      <c r="L47" s="1281"/>
      <c r="M47" s="1282"/>
      <c r="N47" s="1282"/>
      <c r="O47" s="1282"/>
      <c r="P47" s="1327"/>
      <c r="Q47" s="1328"/>
      <c r="R47" s="287"/>
      <c r="S47" s="1374" t="str">
        <f>INDEX(PT_DIFFERENTIATION_NUM_TER,MATCH(B47,PT_DIFFERENTIATION_TER_ID,0))</f>
        <v>.</v>
      </c>
      <c r="T47" s="243" t="s">
        <v>432</v>
      </c>
      <c r="U47" s="235"/>
      <c r="V47" s="3186"/>
      <c r="W47" s="3186"/>
      <c r="X47" s="3186"/>
      <c r="Y47" s="3186"/>
      <c r="Z47" s="3186"/>
      <c r="AA47" s="3186"/>
      <c r="AB47" s="3186"/>
      <c r="AC47" s="3187"/>
      <c r="AD47" s="3185" t="str">
        <f>INDEX(PT_DIFFERENTIATION_TER,MATCH(B47,PT_DIFFERENTIATION_TER_ID,0))</f>
        <v/>
      </c>
      <c r="AE47" s="3186"/>
      <c r="AF47" s="3186"/>
      <c r="AG47" s="3186"/>
      <c r="AH47" s="3186"/>
      <c r="AI47" s="3186"/>
      <c r="AJ47" s="3186"/>
      <c r="AK47" s="3186"/>
      <c r="AL47" s="3186"/>
      <c r="AM47" s="3186"/>
      <c r="AN47" s="3186"/>
      <c r="AO47" s="3186"/>
      <c r="AP47" s="3186"/>
      <c r="AQ47" s="3186"/>
      <c r="AR47" s="3186"/>
      <c r="AS47" s="3186"/>
      <c r="AT47" s="3186"/>
      <c r="AU47" s="3186"/>
      <c r="AV47" s="3186"/>
      <c r="AW47" s="3186"/>
      <c r="AX47" s="3186"/>
      <c r="AY47" s="3186"/>
      <c r="AZ47" s="3186"/>
      <c r="BA47" s="3186"/>
      <c r="BB47" s="3187"/>
      <c r="BC47" s="1175" t="s">
        <v>433</v>
      </c>
      <c r="BE47" s="434"/>
      <c r="BF47" s="434" t="str">
        <f t="shared" si="3"/>
        <v>Территория действия тарифа</v>
      </c>
      <c r="BG47" s="434"/>
      <c r="BH47" s="434"/>
      <c r="BI47" s="1072">
        <v>21</v>
      </c>
    </row>
    <row r="48" spans="1:61" ht="43" customHeight="1">
      <c r="A48" s="1280" t="s">
        <v>281</v>
      </c>
      <c r="B48" s="1280" t="s">
        <v>282</v>
      </c>
      <c r="C48" s="1280" t="s">
        <v>283</v>
      </c>
      <c r="D48" s="1280"/>
      <c r="E48" s="3200"/>
      <c r="F48" s="3200"/>
      <c r="G48" s="3199">
        <v>1</v>
      </c>
      <c r="H48" s="1280"/>
      <c r="I48" s="1280"/>
      <c r="J48" s="1280"/>
      <c r="K48" s="1280"/>
      <c r="L48" s="1281"/>
      <c r="M48" s="1282"/>
      <c r="N48" s="1282"/>
      <c r="O48" s="1282"/>
      <c r="P48" s="1329"/>
      <c r="Q48" s="1328"/>
      <c r="R48" s="287"/>
      <c r="S48" s="1374" t="str">
        <f>INDEX(PT_DIFFERENTIATION_NUM_CS,MATCH(C48,PT_DIFFERENTIATION_CS_ID,0))</f>
        <v>..</v>
      </c>
      <c r="T48" s="244" t="s">
        <v>514</v>
      </c>
      <c r="U48" s="235"/>
      <c r="V48" s="3186"/>
      <c r="W48" s="3186"/>
      <c r="X48" s="3186"/>
      <c r="Y48" s="3186"/>
      <c r="Z48" s="3186"/>
      <c r="AA48" s="3186"/>
      <c r="AB48" s="3186"/>
      <c r="AC48" s="3187"/>
      <c r="AD48" s="3185" t="str">
        <f>INDEX(PT_DIFFERENTIATION_CS,MATCH(C48,PT_DIFFERENTIATION_CS_ID,0))</f>
        <v/>
      </c>
      <c r="AE48" s="3186"/>
      <c r="AF48" s="3186"/>
      <c r="AG48" s="3186"/>
      <c r="AH48" s="3186"/>
      <c r="AI48" s="3186"/>
      <c r="AJ48" s="3186"/>
      <c r="AK48" s="3186"/>
      <c r="AL48" s="3186"/>
      <c r="AM48" s="3186"/>
      <c r="AN48" s="3186"/>
      <c r="AO48" s="3186"/>
      <c r="AP48" s="3186"/>
      <c r="AQ48" s="3186"/>
      <c r="AR48" s="3186"/>
      <c r="AS48" s="3186"/>
      <c r="AT48" s="3186"/>
      <c r="AU48" s="3186"/>
      <c r="AV48" s="3186"/>
      <c r="AW48" s="3186"/>
      <c r="AX48" s="3186"/>
      <c r="AY48" s="3186"/>
      <c r="AZ48" s="3186"/>
      <c r="BA48" s="3186"/>
      <c r="BB48" s="3187"/>
      <c r="BC48" s="1175" t="s">
        <v>515</v>
      </c>
      <c r="BE48" s="434"/>
      <c r="BF48" s="434" t="str">
        <f t="shared" si="3"/>
        <v>Наименование централизованной системы холодного водоснабжения</v>
      </c>
      <c r="BG48" s="434"/>
      <c r="BH48" s="434"/>
      <c r="BI48" s="1072">
        <v>41</v>
      </c>
    </row>
    <row r="49" spans="1:61" s="2017" customFormat="1" ht="0" hidden="1" customHeight="1">
      <c r="A49" s="1260" t="s">
        <v>281</v>
      </c>
      <c r="B49" s="1260" t="s">
        <v>282</v>
      </c>
      <c r="C49" s="1260" t="s">
        <v>283</v>
      </c>
      <c r="D49" s="1260" t="s">
        <v>548</v>
      </c>
      <c r="E49" s="3200"/>
      <c r="F49" s="3200"/>
      <c r="G49" s="3200"/>
      <c r="H49" s="3199">
        <v>1</v>
      </c>
      <c r="I49" s="1260"/>
      <c r="J49" s="1260"/>
      <c r="K49" s="1260"/>
      <c r="L49" s="1263"/>
      <c r="M49" s="1232"/>
      <c r="N49" s="1232"/>
      <c r="O49" s="1232"/>
      <c r="P49" s="1414"/>
      <c r="Q49" s="1415"/>
      <c r="R49" s="291"/>
      <c r="S49" s="963"/>
      <c r="T49" s="1416"/>
      <c r="U49" s="1301"/>
      <c r="V49" s="3229"/>
      <c r="W49" s="3229"/>
      <c r="X49" s="3229"/>
      <c r="Y49" s="3229"/>
      <c r="Z49" s="3229"/>
      <c r="AA49" s="3229"/>
      <c r="AB49" s="3229"/>
      <c r="AC49" s="3230"/>
      <c r="AD49" s="3228"/>
      <c r="AE49" s="3229"/>
      <c r="AF49" s="3229"/>
      <c r="AG49" s="3229"/>
      <c r="AH49" s="3229"/>
      <c r="AI49" s="3229"/>
      <c r="AJ49" s="3229"/>
      <c r="AK49" s="3229"/>
      <c r="AL49" s="3229"/>
      <c r="AM49" s="3229"/>
      <c r="AN49" s="3229"/>
      <c r="AO49" s="3229"/>
      <c r="AP49" s="3229"/>
      <c r="AQ49" s="3229"/>
      <c r="AR49" s="3229"/>
      <c r="AS49" s="3229"/>
      <c r="AT49" s="3229"/>
      <c r="AU49" s="3229"/>
      <c r="AV49" s="3229"/>
      <c r="AW49" s="3229"/>
      <c r="AX49" s="3229"/>
      <c r="AY49" s="3229"/>
      <c r="AZ49" s="3229"/>
      <c r="BA49" s="3229"/>
      <c r="BB49" s="3230"/>
      <c r="BC49" s="1302" t="s">
        <v>437</v>
      </c>
      <c r="BE49" s="434"/>
      <c r="BF49" s="434" t="str">
        <f t="shared" si="3"/>
        <v/>
      </c>
      <c r="BG49" s="434"/>
      <c r="BH49" s="434"/>
      <c r="BI49" s="445">
        <v>0</v>
      </c>
    </row>
    <row r="50" spans="1:61" s="2017" customFormat="1" ht="0" hidden="1" customHeight="1">
      <c r="A50" s="1260" t="s">
        <v>281</v>
      </c>
      <c r="B50" s="1260" t="s">
        <v>282</v>
      </c>
      <c r="C50" s="1260" t="s">
        <v>283</v>
      </c>
      <c r="D50" s="1260" t="s">
        <v>548</v>
      </c>
      <c r="E50" s="3200"/>
      <c r="F50" s="3200"/>
      <c r="G50" s="3200"/>
      <c r="H50" s="3200"/>
      <c r="I50" s="3197" t="str">
        <f>S49&amp;".1"</f>
        <v>.1</v>
      </c>
      <c r="J50" s="1260"/>
      <c r="K50" s="1260"/>
      <c r="L50" s="1263" t="s">
        <v>438</v>
      </c>
      <c r="M50" s="444"/>
      <c r="N50" s="444"/>
      <c r="O50" s="444"/>
      <c r="P50" s="3198">
        <v>1</v>
      </c>
      <c r="Q50" s="1379"/>
      <c r="R50" s="290"/>
      <c r="S50" s="963"/>
      <c r="T50" s="1300"/>
      <c r="U50" s="1301"/>
      <c r="V50" s="3229"/>
      <c r="W50" s="3229"/>
      <c r="X50" s="3229"/>
      <c r="Y50" s="3229"/>
      <c r="Z50" s="3229"/>
      <c r="AA50" s="3229"/>
      <c r="AB50" s="3229"/>
      <c r="AC50" s="3230"/>
      <c r="AD50" s="3228"/>
      <c r="AE50" s="3229"/>
      <c r="AF50" s="3229"/>
      <c r="AG50" s="3229"/>
      <c r="AH50" s="3229"/>
      <c r="AI50" s="3229"/>
      <c r="AJ50" s="3229"/>
      <c r="AK50" s="3229"/>
      <c r="AL50" s="3229"/>
      <c r="AM50" s="3229"/>
      <c r="AN50" s="3229"/>
      <c r="AO50" s="3229"/>
      <c r="AP50" s="3229"/>
      <c r="AQ50" s="3229"/>
      <c r="AR50" s="3229"/>
      <c r="AS50" s="3229"/>
      <c r="AT50" s="3229"/>
      <c r="AU50" s="3229"/>
      <c r="AV50" s="3229"/>
      <c r="AW50" s="3229"/>
      <c r="AX50" s="3229"/>
      <c r="AY50" s="3229"/>
      <c r="AZ50" s="3229"/>
      <c r="BA50" s="3229"/>
      <c r="BB50" s="3230"/>
      <c r="BC50" s="1302"/>
      <c r="BE50" s="434"/>
      <c r="BF50" s="434" t="str">
        <f t="shared" si="3"/>
        <v/>
      </c>
      <c r="BG50" s="434"/>
      <c r="BH50" s="434"/>
      <c r="BI50" s="445">
        <v>0</v>
      </c>
    </row>
    <row r="51" spans="1:61" s="2017" customFormat="1" ht="0" hidden="1" customHeight="1">
      <c r="A51" s="1260" t="s">
        <v>281</v>
      </c>
      <c r="B51" s="1260" t="s">
        <v>282</v>
      </c>
      <c r="C51" s="1260" t="s">
        <v>283</v>
      </c>
      <c r="D51" s="1260" t="s">
        <v>548</v>
      </c>
      <c r="E51" s="3200"/>
      <c r="F51" s="3200"/>
      <c r="G51" s="3200"/>
      <c r="H51" s="3200"/>
      <c r="I51" s="3220"/>
      <c r="J51" s="3197" t="str">
        <f>S49&amp;".1"</f>
        <v>.1</v>
      </c>
      <c r="K51" s="1260"/>
      <c r="L51" s="1263"/>
      <c r="M51" s="444"/>
      <c r="N51" s="444"/>
      <c r="O51" s="444"/>
      <c r="P51" s="3198"/>
      <c r="Q51" s="3198">
        <v>1</v>
      </c>
      <c r="R51" s="291"/>
      <c r="S51" s="963"/>
      <c r="T51" s="1316"/>
      <c r="U51" s="1301"/>
      <c r="V51" s="3229"/>
      <c r="W51" s="3229"/>
      <c r="X51" s="3229"/>
      <c r="Y51" s="3229"/>
      <c r="Z51" s="3229"/>
      <c r="AA51" s="3229"/>
      <c r="AB51" s="3229"/>
      <c r="AC51" s="3230"/>
      <c r="AD51" s="3228"/>
      <c r="AE51" s="3229"/>
      <c r="AF51" s="3229"/>
      <c r="AG51" s="3229"/>
      <c r="AH51" s="3229"/>
      <c r="AI51" s="3229"/>
      <c r="AJ51" s="3229"/>
      <c r="AK51" s="3229"/>
      <c r="AL51" s="3229"/>
      <c r="AM51" s="3229"/>
      <c r="AN51" s="3280"/>
      <c r="AO51" s="3280"/>
      <c r="AP51" s="3229"/>
      <c r="AQ51" s="3229"/>
      <c r="AR51" s="3229"/>
      <c r="AS51" s="3229"/>
      <c r="AT51" s="3229"/>
      <c r="AU51" s="3229"/>
      <c r="AV51" s="3229"/>
      <c r="AW51" s="3229"/>
      <c r="AX51" s="3229"/>
      <c r="AY51" s="3229"/>
      <c r="AZ51" s="3229"/>
      <c r="BA51" s="3229"/>
      <c r="BB51" s="3230"/>
      <c r="BC51" s="1302"/>
      <c r="BE51" s="434"/>
      <c r="BF51" s="434" t="str">
        <f t="shared" si="3"/>
        <v/>
      </c>
      <c r="BG51" s="434"/>
      <c r="BH51" s="434"/>
      <c r="BI51" s="445">
        <v>0</v>
      </c>
    </row>
    <row r="52" spans="1:61" ht="11.5" customHeight="1">
      <c r="A52" s="1280" t="s">
        <v>281</v>
      </c>
      <c r="B52" s="1280" t="s">
        <v>282</v>
      </c>
      <c r="C52" s="1280" t="s">
        <v>283</v>
      </c>
      <c r="D52" s="1280" t="s">
        <v>548</v>
      </c>
      <c r="E52" s="3200"/>
      <c r="F52" s="3200"/>
      <c r="G52" s="3200"/>
      <c r="H52" s="3200"/>
      <c r="I52" s="3220"/>
      <c r="J52" s="3220"/>
      <c r="K52" s="3197" t="str">
        <f>S48&amp;".1"</f>
        <v>...1</v>
      </c>
      <c r="L52" s="1281"/>
      <c r="P52" s="3198"/>
      <c r="Q52" s="3198"/>
      <c r="R52" s="291">
        <v>1</v>
      </c>
      <c r="S52" s="3257" t="str">
        <f>$K52</f>
        <v>...1</v>
      </c>
      <c r="T52" s="3276"/>
      <c r="U52" s="235"/>
      <c r="V52" s="685"/>
      <c r="W52" s="1174"/>
      <c r="X52" s="685"/>
      <c r="Y52" s="1174"/>
      <c r="Z52" s="1650"/>
      <c r="AA52" s="1376" t="s">
        <v>67</v>
      </c>
      <c r="AB52" s="1650"/>
      <c r="AC52" s="1376" t="s">
        <v>67</v>
      </c>
      <c r="AD52" s="3078" t="s">
        <v>67</v>
      </c>
      <c r="AE52" s="3242"/>
      <c r="AF52" s="3155">
        <v>1</v>
      </c>
      <c r="AG52" s="3279"/>
      <c r="AH52" s="3048" t="s">
        <v>67</v>
      </c>
      <c r="AI52" s="3242"/>
      <c r="AJ52" s="3155">
        <v>1</v>
      </c>
      <c r="AK52" s="3243" t="s">
        <v>28</v>
      </c>
      <c r="AL52" s="3048" t="s">
        <v>67</v>
      </c>
      <c r="AM52" s="3145"/>
      <c r="AN52" s="3155">
        <v>1</v>
      </c>
      <c r="AO52" s="3273"/>
      <c r="AP52" s="3274" t="s">
        <v>67</v>
      </c>
      <c r="AQ52" s="246"/>
      <c r="AR52" s="1380">
        <v>1</v>
      </c>
      <c r="AS52" s="1383" t="s">
        <v>28</v>
      </c>
      <c r="AT52" s="685"/>
      <c r="AU52" s="1174"/>
      <c r="AV52" s="685"/>
      <c r="AW52" s="1174"/>
      <c r="AX52" s="1650"/>
      <c r="AY52" s="1376" t="s">
        <v>67</v>
      </c>
      <c r="AZ52" s="1650"/>
      <c r="BA52" s="1376" t="s">
        <v>67</v>
      </c>
      <c r="BB52" s="1265"/>
      <c r="BC52" s="3194" t="s">
        <v>534</v>
      </c>
      <c r="BE52" s="434"/>
      <c r="BF52" s="434" t="str">
        <f t="shared" si="3"/>
        <v/>
      </c>
      <c r="BG52" s="434"/>
      <c r="BH52" s="434"/>
      <c r="BI52" s="1072">
        <v>11</v>
      </c>
    </row>
    <row r="53" spans="1:61" ht="11.5" customHeight="1">
      <c r="A53" s="1280"/>
      <c r="B53" s="1280"/>
      <c r="C53" s="1280"/>
      <c r="D53" s="1280"/>
      <c r="E53" s="3200"/>
      <c r="F53" s="3200"/>
      <c r="G53" s="3200"/>
      <c r="H53" s="3200"/>
      <c r="I53" s="3220"/>
      <c r="J53" s="3220"/>
      <c r="K53" s="3197"/>
      <c r="L53" s="1281"/>
      <c r="P53" s="3198"/>
      <c r="Q53" s="3198"/>
      <c r="R53" s="291"/>
      <c r="S53" s="3258"/>
      <c r="T53" s="3277"/>
      <c r="U53" s="235"/>
      <c r="V53" s="1310"/>
      <c r="W53" s="1413"/>
      <c r="X53" s="1310"/>
      <c r="Y53" s="1413"/>
      <c r="Z53" s="1310"/>
      <c r="AA53" s="1310"/>
      <c r="AB53" s="1310"/>
      <c r="AC53" s="1310"/>
      <c r="AD53" s="3079"/>
      <c r="AE53" s="3242"/>
      <c r="AF53" s="3155"/>
      <c r="AG53" s="3279"/>
      <c r="AH53" s="3048"/>
      <c r="AI53" s="3242"/>
      <c r="AJ53" s="3155"/>
      <c r="AK53" s="3243"/>
      <c r="AL53" s="3048"/>
      <c r="AM53" s="3150"/>
      <c r="AN53" s="3155"/>
      <c r="AO53" s="3273"/>
      <c r="AP53" s="3275"/>
      <c r="AQ53" s="251"/>
      <c r="AR53" s="350"/>
      <c r="AS53" s="350" t="s">
        <v>535</v>
      </c>
      <c r="AT53" s="1310"/>
      <c r="AU53" s="1413"/>
      <c r="AV53" s="1310"/>
      <c r="AW53" s="1413"/>
      <c r="AX53" s="1310"/>
      <c r="AY53" s="1310"/>
      <c r="AZ53" s="1310"/>
      <c r="BA53" s="1310"/>
      <c r="BB53" s="1314"/>
      <c r="BC53" s="3195"/>
      <c r="BE53" s="434"/>
      <c r="BF53" s="434"/>
      <c r="BG53" s="434"/>
      <c r="BH53" s="434"/>
      <c r="BI53" s="1072">
        <v>11</v>
      </c>
    </row>
    <row r="54" spans="1:61" ht="11.5" customHeight="1">
      <c r="A54" s="1280" t="s">
        <v>281</v>
      </c>
      <c r="B54" s="1280"/>
      <c r="C54" s="1280"/>
      <c r="D54" s="1280"/>
      <c r="E54" s="3200"/>
      <c r="F54" s="3200"/>
      <c r="G54" s="3200"/>
      <c r="H54" s="3200"/>
      <c r="I54" s="3220"/>
      <c r="J54" s="3220"/>
      <c r="K54" s="3197"/>
      <c r="L54" s="1281"/>
      <c r="P54" s="3198"/>
      <c r="Q54" s="3198"/>
      <c r="R54" s="291"/>
      <c r="S54" s="3258"/>
      <c r="T54" s="3277"/>
      <c r="U54" s="235"/>
      <c r="V54" s="1310"/>
      <c r="W54" s="1413"/>
      <c r="X54" s="1310"/>
      <c r="Y54" s="1413"/>
      <c r="Z54" s="1310"/>
      <c r="AA54" s="1310"/>
      <c r="AB54" s="1310"/>
      <c r="AC54" s="1310"/>
      <c r="AD54" s="3079"/>
      <c r="AE54" s="3242"/>
      <c r="AF54" s="3155"/>
      <c r="AG54" s="3279"/>
      <c r="AH54" s="3048"/>
      <c r="AI54" s="3242"/>
      <c r="AJ54" s="3155"/>
      <c r="AK54" s="3243"/>
      <c r="AL54" s="3048"/>
      <c r="AM54" s="251"/>
      <c r="AN54" s="1417"/>
      <c r="AO54" s="1417" t="s">
        <v>536</v>
      </c>
      <c r="AP54" s="350"/>
      <c r="AQ54" s="350"/>
      <c r="AR54" s="350"/>
      <c r="AS54" s="1310"/>
      <c r="AT54" s="1310"/>
      <c r="AU54" s="1413"/>
      <c r="AV54" s="1310"/>
      <c r="AW54" s="1413"/>
      <c r="AX54" s="1310"/>
      <c r="AY54" s="1310"/>
      <c r="AZ54" s="1310"/>
      <c r="BA54" s="1310"/>
      <c r="BB54" s="1314"/>
      <c r="BC54" s="3195"/>
      <c r="BE54" s="434"/>
      <c r="BF54" s="434"/>
      <c r="BG54" s="434"/>
      <c r="BH54" s="434"/>
      <c r="BI54" s="1072">
        <v>11</v>
      </c>
    </row>
    <row r="55" spans="1:61" ht="11.5" customHeight="1">
      <c r="A55" s="1280" t="s">
        <v>281</v>
      </c>
      <c r="B55" s="1280"/>
      <c r="C55" s="1280"/>
      <c r="D55" s="1280"/>
      <c r="E55" s="3200"/>
      <c r="F55" s="3200"/>
      <c r="G55" s="3200"/>
      <c r="H55" s="3200"/>
      <c r="I55" s="3220"/>
      <c r="J55" s="3220"/>
      <c r="K55" s="3197"/>
      <c r="L55" s="1281"/>
      <c r="P55" s="3198"/>
      <c r="Q55" s="3198"/>
      <c r="R55" s="291"/>
      <c r="S55" s="3258"/>
      <c r="T55" s="3277"/>
      <c r="U55" s="235"/>
      <c r="V55" s="1310"/>
      <c r="W55" s="1413"/>
      <c r="X55" s="1310"/>
      <c r="Y55" s="1413"/>
      <c r="Z55" s="1310"/>
      <c r="AA55" s="1310"/>
      <c r="AB55" s="1310"/>
      <c r="AC55" s="1310"/>
      <c r="AD55" s="3079"/>
      <c r="AE55" s="3242"/>
      <c r="AF55" s="3155"/>
      <c r="AG55" s="3279"/>
      <c r="AH55" s="3048"/>
      <c r="AI55" s="229"/>
      <c r="AJ55" s="349"/>
      <c r="AK55" s="248" t="s">
        <v>537</v>
      </c>
      <c r="AL55" s="1310"/>
      <c r="AM55" s="1310"/>
      <c r="AN55" s="1310"/>
      <c r="AO55" s="1310"/>
      <c r="AP55" s="1310"/>
      <c r="AQ55" s="1310"/>
      <c r="AR55" s="1310"/>
      <c r="AS55" s="1310"/>
      <c r="AT55" s="1310"/>
      <c r="AU55" s="1413"/>
      <c r="AV55" s="1310"/>
      <c r="AW55" s="1413"/>
      <c r="AX55" s="1310"/>
      <c r="AY55" s="1310"/>
      <c r="AZ55" s="1310"/>
      <c r="BA55" s="1310"/>
      <c r="BB55" s="1314"/>
      <c r="BC55" s="3195"/>
      <c r="BE55" s="434"/>
      <c r="BF55" s="434"/>
      <c r="BG55" s="434"/>
      <c r="BH55" s="434"/>
      <c r="BI55" s="1072">
        <v>11</v>
      </c>
    </row>
    <row r="56" spans="1:61" ht="11.5" customHeight="1">
      <c r="A56" s="1280" t="s">
        <v>281</v>
      </c>
      <c r="B56" s="1280" t="s">
        <v>282</v>
      </c>
      <c r="C56" s="1280" t="s">
        <v>283</v>
      </c>
      <c r="D56" s="1280" t="s">
        <v>548</v>
      </c>
      <c r="E56" s="3200"/>
      <c r="F56" s="3200"/>
      <c r="G56" s="3200"/>
      <c r="H56" s="3200"/>
      <c r="I56" s="3220"/>
      <c r="J56" s="3220"/>
      <c r="K56" s="3197"/>
      <c r="L56" s="1281"/>
      <c r="P56" s="3198"/>
      <c r="Q56" s="3198"/>
      <c r="R56" s="291"/>
      <c r="S56" s="3259"/>
      <c r="T56" s="3278"/>
      <c r="U56" s="235"/>
      <c r="V56" s="1310"/>
      <c r="W56" s="1311" t="str">
        <f>Z52&amp;"-"&amp;AB52</f>
        <v>-</v>
      </c>
      <c r="X56" s="1310"/>
      <c r="Y56" s="1311" t="str">
        <f>AB52&amp;"-"&amp;AD52</f>
        <v>-да</v>
      </c>
      <c r="Z56" s="1310"/>
      <c r="AA56" s="1310"/>
      <c r="AB56" s="1310"/>
      <c r="AC56" s="1310"/>
      <c r="AD56" s="3053"/>
      <c r="AE56" s="247"/>
      <c r="AF56" s="249"/>
      <c r="AG56" s="350" t="s">
        <v>538</v>
      </c>
      <c r="AH56" s="1310"/>
      <c r="AI56" s="1310"/>
      <c r="AJ56" s="1310"/>
      <c r="AK56" s="1310"/>
      <c r="AL56" s="1310"/>
      <c r="AM56" s="1310"/>
      <c r="AN56" s="1310"/>
      <c r="AO56" s="1310"/>
      <c r="AP56" s="1310"/>
      <c r="AQ56" s="1310"/>
      <c r="AR56" s="1310"/>
      <c r="AS56" s="1310"/>
      <c r="AT56" s="1310"/>
      <c r="AU56" s="1311" t="str">
        <f>AX52&amp;"-"&amp;AZ52</f>
        <v>-</v>
      </c>
      <c r="AV56" s="1310"/>
      <c r="AW56" s="1311" t="str">
        <f>AZ52&amp;"-"&amp;BB52</f>
        <v>-</v>
      </c>
      <c r="AX56" s="1310"/>
      <c r="AY56" s="1310"/>
      <c r="AZ56" s="1310"/>
      <c r="BA56" s="1310"/>
      <c r="BB56" s="1313" t="str">
        <f>BE52&amp;"-"&amp;BG52</f>
        <v>-</v>
      </c>
      <c r="BC56" s="3195"/>
      <c r="BE56" s="434"/>
      <c r="BF56" s="434" t="str">
        <f t="shared" ref="BF56:BF63" si="4">IF(T56="","",T56)</f>
        <v/>
      </c>
      <c r="BG56" s="434"/>
      <c r="BH56" s="434"/>
      <c r="BI56" s="1072">
        <v>11</v>
      </c>
    </row>
    <row r="57" spans="1:61" ht="11.5" customHeight="1">
      <c r="A57" s="1280" t="s">
        <v>281</v>
      </c>
      <c r="B57" s="1280" t="s">
        <v>282</v>
      </c>
      <c r="C57" s="1280" t="s">
        <v>283</v>
      </c>
      <c r="D57" s="1280" t="s">
        <v>548</v>
      </c>
      <c r="E57" s="3200"/>
      <c r="F57" s="3200"/>
      <c r="G57" s="3200"/>
      <c r="H57" s="3200"/>
      <c r="I57" s="3220"/>
      <c r="J57" s="3197"/>
      <c r="K57" s="1280"/>
      <c r="L57" s="1281"/>
      <c r="P57" s="3198"/>
      <c r="Q57" s="3198"/>
      <c r="R57" s="290"/>
      <c r="S57" s="1195"/>
      <c r="T57" s="222" t="s">
        <v>501</v>
      </c>
      <c r="U57" s="301"/>
      <c r="V57" s="301"/>
      <c r="W57" s="301"/>
      <c r="X57" s="301"/>
      <c r="Y57" s="301"/>
      <c r="Z57" s="301"/>
      <c r="AA57" s="301"/>
      <c r="AB57" s="301"/>
      <c r="AC57" s="259"/>
      <c r="AD57" s="1422"/>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259"/>
      <c r="BC57" s="3196"/>
      <c r="BE57" s="434"/>
      <c r="BF57" s="434" t="str">
        <f t="shared" si="4"/>
        <v>Добавить строку</v>
      </c>
      <c r="BG57" s="434"/>
      <c r="BH57" s="434"/>
      <c r="BI57" s="1072">
        <v>11</v>
      </c>
    </row>
    <row r="58" spans="1:61" s="2017" customFormat="1" ht="0" hidden="1" customHeight="1">
      <c r="A58" s="1260" t="s">
        <v>281</v>
      </c>
      <c r="B58" s="1260" t="s">
        <v>282</v>
      </c>
      <c r="C58" s="1260" t="s">
        <v>283</v>
      </c>
      <c r="D58" s="1260" t="s">
        <v>548</v>
      </c>
      <c r="E58" s="3200"/>
      <c r="F58" s="3200"/>
      <c r="G58" s="3200"/>
      <c r="H58" s="3200"/>
      <c r="I58" s="3197"/>
      <c r="J58" s="1260"/>
      <c r="K58" s="1260"/>
      <c r="L58" s="1263"/>
      <c r="M58" s="444"/>
      <c r="N58" s="444"/>
      <c r="O58" s="444"/>
      <c r="P58" s="3198"/>
      <c r="Q58" s="1379"/>
      <c r="R58" s="290"/>
      <c r="S58" s="1303"/>
      <c r="T58" s="1304"/>
      <c r="U58" s="1305"/>
      <c r="V58" s="1305"/>
      <c r="W58" s="1305"/>
      <c r="X58" s="1305"/>
      <c r="Y58" s="1305"/>
      <c r="Z58" s="1305"/>
      <c r="AA58" s="1305"/>
      <c r="AB58" s="1305"/>
      <c r="AC58" s="1305"/>
      <c r="AD58" s="1305"/>
      <c r="AE58" s="1305"/>
      <c r="AF58" s="1305"/>
      <c r="AG58" s="1305"/>
      <c r="AH58" s="1305"/>
      <c r="AI58" s="1305"/>
      <c r="AJ58" s="1305"/>
      <c r="AK58" s="1305"/>
      <c r="AL58" s="1305"/>
      <c r="AM58" s="1305"/>
      <c r="AN58" s="1305"/>
      <c r="AO58" s="1305"/>
      <c r="AP58" s="1305"/>
      <c r="AQ58" s="1305"/>
      <c r="AR58" s="1305"/>
      <c r="AS58" s="1305"/>
      <c r="AT58" s="1305"/>
      <c r="AU58" s="1305"/>
      <c r="AV58" s="1305"/>
      <c r="AW58" s="1305"/>
      <c r="AX58" s="1305"/>
      <c r="AY58" s="1305"/>
      <c r="AZ58" s="1305"/>
      <c r="BA58" s="1305"/>
      <c r="BB58" s="1305"/>
      <c r="BC58" s="1306"/>
      <c r="BE58" s="434"/>
      <c r="BF58" s="434" t="str">
        <f t="shared" si="4"/>
        <v/>
      </c>
      <c r="BG58" s="434"/>
      <c r="BH58" s="434"/>
      <c r="BI58" s="445">
        <v>0</v>
      </c>
    </row>
    <row r="59" spans="1:61" s="2017" customFormat="1" ht="0" hidden="1" customHeight="1">
      <c r="A59" s="1260" t="s">
        <v>281</v>
      </c>
      <c r="B59" s="1260" t="s">
        <v>282</v>
      </c>
      <c r="C59" s="1260" t="s">
        <v>283</v>
      </c>
      <c r="D59" s="1260" t="s">
        <v>548</v>
      </c>
      <c r="E59" s="3200"/>
      <c r="F59" s="3200"/>
      <c r="G59" s="3200"/>
      <c r="H59" s="3199"/>
      <c r="I59" s="1260"/>
      <c r="J59" s="1260"/>
      <c r="K59" s="1260"/>
      <c r="L59" s="1263"/>
      <c r="M59" s="1232"/>
      <c r="N59" s="1232"/>
      <c r="O59" s="452"/>
      <c r="P59" s="314"/>
      <c r="Q59" s="1261"/>
      <c r="R59" s="1318"/>
      <c r="S59" s="1303"/>
      <c r="T59" s="1304"/>
      <c r="U59" s="1305"/>
      <c r="V59" s="1305"/>
      <c r="W59" s="1305"/>
      <c r="X59" s="1305"/>
      <c r="Y59" s="1305"/>
      <c r="Z59" s="1305"/>
      <c r="AA59" s="1305"/>
      <c r="AB59" s="1305"/>
      <c r="AC59" s="1305"/>
      <c r="AD59" s="1305"/>
      <c r="AE59" s="1305"/>
      <c r="AF59" s="1305"/>
      <c r="AG59" s="1305"/>
      <c r="AH59" s="1305"/>
      <c r="AI59" s="1305"/>
      <c r="AJ59" s="1305"/>
      <c r="AK59" s="1305"/>
      <c r="AL59" s="1305"/>
      <c r="AM59" s="1305"/>
      <c r="AN59" s="1305"/>
      <c r="AO59" s="1305"/>
      <c r="AP59" s="1305"/>
      <c r="AQ59" s="1305"/>
      <c r="AR59" s="1305"/>
      <c r="AS59" s="1305"/>
      <c r="AT59" s="1305"/>
      <c r="AU59" s="1305"/>
      <c r="AV59" s="1305"/>
      <c r="AW59" s="1305"/>
      <c r="AX59" s="1305"/>
      <c r="AY59" s="1305"/>
      <c r="AZ59" s="1305"/>
      <c r="BA59" s="1305"/>
      <c r="BB59" s="1305"/>
      <c r="BC59" s="1306"/>
      <c r="BE59" s="434"/>
      <c r="BF59" s="434" t="str">
        <f t="shared" si="4"/>
        <v/>
      </c>
      <c r="BG59" s="434"/>
      <c r="BH59" s="434"/>
      <c r="BI59" s="445">
        <v>0</v>
      </c>
    </row>
    <row r="60" spans="1:61" s="2017" customFormat="1" ht="0" hidden="1" customHeight="1">
      <c r="A60" s="1260" t="s">
        <v>281</v>
      </c>
      <c r="B60" s="1260" t="s">
        <v>282</v>
      </c>
      <c r="C60" s="1260" t="s">
        <v>283</v>
      </c>
      <c r="D60" s="1231"/>
      <c r="E60" s="3200"/>
      <c r="F60" s="3200"/>
      <c r="G60" s="3199"/>
      <c r="H60" s="1231"/>
      <c r="I60" s="1231"/>
      <c r="J60" s="1231"/>
      <c r="K60" s="1231"/>
      <c r="L60" s="1381"/>
      <c r="M60" s="1232"/>
      <c r="N60" s="1232"/>
      <c r="P60" s="1233"/>
      <c r="Q60" s="1234"/>
      <c r="R60" s="1233"/>
      <c r="S60" s="1239"/>
      <c r="T60" s="1242"/>
      <c r="U60" s="1241"/>
      <c r="V60" s="1241"/>
      <c r="W60" s="1241"/>
      <c r="X60" s="1241"/>
      <c r="Y60" s="1241"/>
      <c r="Z60" s="1241"/>
      <c r="AA60" s="1241"/>
      <c r="AB60" s="1241"/>
      <c r="AC60" s="1241"/>
      <c r="AD60" s="1241"/>
      <c r="AE60" s="1241"/>
      <c r="AF60" s="1241"/>
      <c r="AG60" s="1241"/>
      <c r="AH60" s="1241"/>
      <c r="AI60" s="1241"/>
      <c r="AJ60" s="1241"/>
      <c r="AK60" s="1241"/>
      <c r="AL60" s="1241"/>
      <c r="AM60" s="1241"/>
      <c r="AN60" s="1241"/>
      <c r="AO60" s="1241"/>
      <c r="AP60" s="1241"/>
      <c r="AQ60" s="1241"/>
      <c r="AR60" s="1241"/>
      <c r="AS60" s="1241"/>
      <c r="AT60" s="1241"/>
      <c r="AU60" s="1241"/>
      <c r="AV60" s="1241"/>
      <c r="AW60" s="1241"/>
      <c r="AX60" s="1241"/>
      <c r="AY60" s="1241"/>
      <c r="AZ60" s="1241"/>
      <c r="BA60" s="1241"/>
      <c r="BB60" s="1241"/>
      <c r="BC60" s="1241"/>
      <c r="BE60" s="717"/>
      <c r="BF60" s="717" t="str">
        <f t="shared" si="4"/>
        <v/>
      </c>
      <c r="BG60" s="717"/>
      <c r="BH60" s="717"/>
      <c r="BI60" s="452">
        <v>0</v>
      </c>
    </row>
    <row r="61" spans="1:61" s="2017" customFormat="1" ht="0" hidden="1" customHeight="1">
      <c r="A61" s="1260" t="s">
        <v>281</v>
      </c>
      <c r="B61" s="1260" t="s">
        <v>282</v>
      </c>
      <c r="C61" s="1231"/>
      <c r="D61" s="1231"/>
      <c r="E61" s="3200"/>
      <c r="F61" s="3199"/>
      <c r="G61" s="1231"/>
      <c r="H61" s="1231"/>
      <c r="I61" s="1231"/>
      <c r="J61" s="1231"/>
      <c r="K61" s="1231"/>
      <c r="L61" s="1381"/>
      <c r="M61" s="1238"/>
      <c r="N61" s="1238"/>
      <c r="P61" s="1233"/>
      <c r="Q61" s="1234"/>
      <c r="R61" s="1233"/>
      <c r="S61" s="1239"/>
      <c r="T61" s="1242" t="s">
        <v>181</v>
      </c>
      <c r="U61" s="1241"/>
      <c r="V61" s="1241"/>
      <c r="W61" s="1241"/>
      <c r="X61" s="1241"/>
      <c r="Y61" s="1241"/>
      <c r="Z61" s="1241"/>
      <c r="AA61" s="1241"/>
      <c r="AB61" s="1241"/>
      <c r="AC61" s="1241"/>
      <c r="AD61" s="1241"/>
      <c r="AE61" s="1241"/>
      <c r="AF61" s="1241"/>
      <c r="AG61" s="1241"/>
      <c r="AH61" s="1241"/>
      <c r="AI61" s="1241"/>
      <c r="AJ61" s="1241"/>
      <c r="AK61" s="1241"/>
      <c r="AL61" s="1241"/>
      <c r="AM61" s="1241"/>
      <c r="AN61" s="1241"/>
      <c r="AO61" s="1241"/>
      <c r="AP61" s="1241"/>
      <c r="AQ61" s="1241"/>
      <c r="AR61" s="1241"/>
      <c r="AS61" s="1241"/>
      <c r="AT61" s="1241"/>
      <c r="AU61" s="1241"/>
      <c r="AV61" s="1241"/>
      <c r="AW61" s="1241"/>
      <c r="AX61" s="1241"/>
      <c r="AY61" s="1241"/>
      <c r="AZ61" s="1241"/>
      <c r="BA61" s="1241"/>
      <c r="BB61" s="1241"/>
      <c r="BC61" s="1241"/>
      <c r="BE61" s="717"/>
      <c r="BF61" s="717" t="str">
        <f t="shared" si="4"/>
        <v>Добавить централизованную систему для дифференциации</v>
      </c>
      <c r="BG61" s="717"/>
      <c r="BH61" s="717"/>
      <c r="BI61" s="452">
        <v>0</v>
      </c>
    </row>
    <row r="62" spans="1:61" s="2017" customFormat="1" ht="0" hidden="1" customHeight="1">
      <c r="A62" s="1260" t="s">
        <v>281</v>
      </c>
      <c r="B62" s="1260"/>
      <c r="C62" s="1260"/>
      <c r="D62" s="1260"/>
      <c r="E62" s="3199"/>
      <c r="F62" s="1260"/>
      <c r="G62" s="1260"/>
      <c r="H62" s="1260"/>
      <c r="I62" s="1260"/>
      <c r="J62" s="1260"/>
      <c r="K62" s="1260"/>
      <c r="L62" s="1263"/>
      <c r="M62" s="1238"/>
      <c r="N62" s="1238"/>
      <c r="O62" s="452"/>
      <c r="P62" s="314"/>
      <c r="Q62" s="1261"/>
      <c r="R62" s="314"/>
      <c r="S62" s="1239"/>
      <c r="T62" s="1242" t="s">
        <v>188</v>
      </c>
      <c r="U62" s="1241"/>
      <c r="V62" s="1241"/>
      <c r="W62" s="1241"/>
      <c r="X62" s="1241"/>
      <c r="Y62" s="1241"/>
      <c r="Z62" s="1241"/>
      <c r="AA62" s="1241"/>
      <c r="AB62" s="1241"/>
      <c r="AC62" s="1241"/>
      <c r="AD62" s="1241"/>
      <c r="AE62" s="1241"/>
      <c r="AF62" s="1241"/>
      <c r="AG62" s="1241"/>
      <c r="AH62" s="1241"/>
      <c r="AI62" s="1241"/>
      <c r="AJ62" s="1241"/>
      <c r="AK62" s="1241"/>
      <c r="AL62" s="1241"/>
      <c r="AM62" s="1241"/>
      <c r="AN62" s="1241"/>
      <c r="AO62" s="1241"/>
      <c r="AP62" s="1241"/>
      <c r="AQ62" s="1241"/>
      <c r="AR62" s="1241"/>
      <c r="AS62" s="1241"/>
      <c r="AT62" s="1241"/>
      <c r="AU62" s="1241"/>
      <c r="AV62" s="1241"/>
      <c r="AW62" s="1241"/>
      <c r="AX62" s="1241"/>
      <c r="AY62" s="1241"/>
      <c r="AZ62" s="1241"/>
      <c r="BA62" s="1241"/>
      <c r="BB62" s="1241"/>
      <c r="BC62" s="1241"/>
      <c r="BE62" s="434"/>
      <c r="BF62" s="434" t="str">
        <f t="shared" si="4"/>
        <v>Добавить территорию для дифференциации</v>
      </c>
      <c r="BG62" s="434"/>
      <c r="BH62" s="434"/>
      <c r="BI62" s="445">
        <v>0</v>
      </c>
    </row>
    <row r="63" spans="1:61" s="2017" customFormat="1" ht="0" hidden="1" customHeight="1">
      <c r="A63" s="1231"/>
      <c r="B63" s="1231"/>
      <c r="C63" s="1231"/>
      <c r="D63" s="1231"/>
      <c r="E63" s="1260"/>
      <c r="F63" s="1231"/>
      <c r="G63" s="1231"/>
      <c r="H63" s="1231"/>
      <c r="I63" s="1231"/>
      <c r="J63" s="1231"/>
      <c r="K63" s="1231"/>
      <c r="L63" s="1381"/>
      <c r="M63" s="1238"/>
      <c r="N63" s="1238"/>
      <c r="P63" s="1233"/>
      <c r="Q63" s="1234"/>
      <c r="R63" s="1233"/>
      <c r="S63" s="1239"/>
      <c r="T63" s="1242" t="s">
        <v>189</v>
      </c>
      <c r="U63" s="1241"/>
      <c r="V63" s="1241"/>
      <c r="W63" s="1241"/>
      <c r="X63" s="1241"/>
      <c r="Y63" s="1241"/>
      <c r="Z63" s="1241"/>
      <c r="AA63" s="1241"/>
      <c r="AB63" s="1241"/>
      <c r="AC63" s="1241"/>
      <c r="AD63" s="1241"/>
      <c r="AE63" s="1241"/>
      <c r="AF63" s="1241"/>
      <c r="AG63" s="1241"/>
      <c r="AH63" s="1241"/>
      <c r="AI63" s="1241"/>
      <c r="AJ63" s="1241"/>
      <c r="AK63" s="1241"/>
      <c r="AL63" s="1241"/>
      <c r="AM63" s="1241"/>
      <c r="AN63" s="1241"/>
      <c r="AO63" s="1241"/>
      <c r="AP63" s="1241"/>
      <c r="AQ63" s="1241"/>
      <c r="AR63" s="1241"/>
      <c r="AS63" s="1241"/>
      <c r="AT63" s="1241"/>
      <c r="AU63" s="1241"/>
      <c r="AV63" s="1241"/>
      <c r="AW63" s="1241"/>
      <c r="AX63" s="1241"/>
      <c r="AY63" s="1241"/>
      <c r="AZ63" s="1241"/>
      <c r="BA63" s="1241"/>
      <c r="BB63" s="1241"/>
      <c r="BC63" s="1241"/>
      <c r="BE63" s="717"/>
      <c r="BF63" s="717" t="str">
        <f t="shared" si="4"/>
        <v>Добавить наименование тарифа</v>
      </c>
      <c r="BG63" s="717"/>
      <c r="BH63" s="717"/>
      <c r="BI63" s="452">
        <v>0</v>
      </c>
    </row>
    <row r="64" spans="1:61" ht="11.5" customHeight="1">
      <c r="M64" s="1077"/>
      <c r="N64" s="1077"/>
      <c r="O64" s="471"/>
      <c r="P64" s="1077"/>
      <c r="Q64" s="1077"/>
      <c r="R64" s="1072"/>
      <c r="S64" s="1072"/>
      <c r="BD64" s="1072"/>
      <c r="BE64" s="1072"/>
      <c r="BF64" s="1072"/>
      <c r="BG64" s="1072"/>
      <c r="BH64" s="1072"/>
      <c r="BI64" s="1072">
        <v>11</v>
      </c>
    </row>
    <row r="65" spans="1:61" ht="20" customHeight="1">
      <c r="O65" s="471"/>
      <c r="S65" s="1170"/>
      <c r="T65" s="3219"/>
      <c r="U65" s="3219"/>
      <c r="V65" s="3219"/>
      <c r="W65" s="3219"/>
      <c r="X65" s="3219"/>
      <c r="Y65" s="3219"/>
      <c r="Z65" s="3219"/>
      <c r="AA65" s="3219"/>
      <c r="AB65" s="3219"/>
      <c r="AC65" s="3219"/>
      <c r="AD65" s="3219"/>
      <c r="AE65" s="3219"/>
      <c r="AF65" s="3219"/>
      <c r="AG65" s="3219"/>
      <c r="AH65" s="3219"/>
      <c r="AI65" s="3219"/>
      <c r="AJ65" s="3219"/>
      <c r="AK65" s="3219"/>
      <c r="AL65" s="3219"/>
      <c r="AM65" s="3219"/>
      <c r="AN65" s="3219"/>
      <c r="AO65" s="3219"/>
      <c r="AP65" s="3219"/>
      <c r="AQ65" s="3219"/>
      <c r="AR65" s="3219"/>
      <c r="AS65" s="3219"/>
      <c r="AT65" s="3219"/>
      <c r="AU65" s="3219"/>
      <c r="AV65" s="3219"/>
      <c r="AW65" s="3219"/>
      <c r="AX65" s="3219"/>
      <c r="AY65" s="3219"/>
      <c r="AZ65" s="3219"/>
      <c r="BA65" s="3219"/>
      <c r="BB65" s="3219"/>
      <c r="BC65" s="3219"/>
      <c r="BI65" s="1072">
        <v>19</v>
      </c>
    </row>
    <row r="66" spans="1:61" ht="14.65" customHeight="1">
      <c r="O66" s="471"/>
      <c r="T66" s="1366"/>
      <c r="U66" s="1366"/>
      <c r="V66" s="1366"/>
      <c r="W66" s="1366"/>
      <c r="X66" s="1366"/>
      <c r="Y66" s="1366"/>
      <c r="Z66" s="1366"/>
      <c r="AA66" s="1366"/>
      <c r="AB66" s="1366"/>
      <c r="AC66" s="1366"/>
      <c r="AD66" s="1366"/>
      <c r="AE66" s="1366"/>
      <c r="AF66" s="1366"/>
      <c r="AG66" s="1366"/>
      <c r="AH66" s="1366"/>
      <c r="AI66" s="1366"/>
      <c r="AJ66" s="1366"/>
      <c r="AK66" s="1366"/>
      <c r="AL66" s="1366"/>
      <c r="AM66" s="1366"/>
      <c r="AN66" s="1366"/>
      <c r="AO66" s="1366"/>
      <c r="AP66" s="1366"/>
      <c r="AQ66" s="1366"/>
      <c r="AR66" s="1366"/>
      <c r="AS66" s="1366"/>
      <c r="AT66" s="1366"/>
      <c r="AU66" s="1366"/>
      <c r="AV66" s="1366"/>
      <c r="AW66" s="1366"/>
      <c r="AX66" s="1366"/>
      <c r="AY66" s="1366"/>
      <c r="AZ66" s="1366"/>
      <c r="BA66" s="1366"/>
      <c r="BB66" s="1366"/>
      <c r="BC66" s="1366"/>
      <c r="BI66" s="1072">
        <v>14</v>
      </c>
    </row>
    <row r="67" spans="1:61" ht="20" customHeight="1">
      <c r="O67" s="471"/>
      <c r="S67" s="1170"/>
      <c r="T67" s="3219"/>
      <c r="U67" s="3219"/>
      <c r="V67" s="3219"/>
      <c r="W67" s="3219"/>
      <c r="X67" s="3219"/>
      <c r="Y67" s="3219"/>
      <c r="Z67" s="3219"/>
      <c r="AA67" s="3219"/>
      <c r="AB67" s="3219"/>
      <c r="AC67" s="3219"/>
      <c r="AD67" s="3219"/>
      <c r="AE67" s="3219"/>
      <c r="AF67" s="3219"/>
      <c r="AG67" s="3219"/>
      <c r="AH67" s="3219"/>
      <c r="AI67" s="3219"/>
      <c r="AJ67" s="3219"/>
      <c r="AK67" s="3219"/>
      <c r="AL67" s="3219"/>
      <c r="AM67" s="3219"/>
      <c r="AN67" s="3219"/>
      <c r="AO67" s="3219"/>
      <c r="AP67" s="3219"/>
      <c r="AQ67" s="3219"/>
      <c r="AR67" s="3219"/>
      <c r="AS67" s="3219"/>
      <c r="AT67" s="3219"/>
      <c r="AU67" s="3219"/>
      <c r="AV67" s="3219"/>
      <c r="AW67" s="3219"/>
      <c r="AX67" s="3219"/>
      <c r="AY67" s="3219"/>
      <c r="AZ67" s="3219"/>
      <c r="BA67" s="3219"/>
      <c r="BB67" s="3219"/>
      <c r="BC67" s="3219"/>
      <c r="BI67" s="1072">
        <v>19</v>
      </c>
    </row>
    <row r="68" spans="1:61" ht="14.65" customHeight="1">
      <c r="O68" s="471"/>
      <c r="BI68" s="1072">
        <v>14</v>
      </c>
    </row>
    <row r="69" spans="1:61" ht="14.25" hidden="1" customHeight="1">
      <c r="A69" s="1077" t="s">
        <v>83</v>
      </c>
      <c r="B69" s="1077">
        <v>0</v>
      </c>
      <c r="C69" s="1077">
        <v>0</v>
      </c>
      <c r="D69" s="1077">
        <v>0</v>
      </c>
      <c r="E69" s="1077">
        <v>0</v>
      </c>
      <c r="F69" s="1077">
        <v>0</v>
      </c>
      <c r="G69" s="1077">
        <v>0</v>
      </c>
      <c r="H69" s="1077">
        <v>0</v>
      </c>
      <c r="I69" s="1077">
        <v>0</v>
      </c>
      <c r="J69" s="1077">
        <v>0</v>
      </c>
      <c r="K69" s="1077">
        <v>0</v>
      </c>
      <c r="L69" s="1378">
        <v>0</v>
      </c>
      <c r="M69" s="1279">
        <v>0</v>
      </c>
      <c r="N69" s="1279">
        <v>0</v>
      </c>
      <c r="O69" s="1279">
        <v>0</v>
      </c>
      <c r="P69" s="1279">
        <v>0</v>
      </c>
      <c r="Q69" s="1288">
        <v>0</v>
      </c>
      <c r="R69" s="279">
        <v>3</v>
      </c>
      <c r="S69" s="515">
        <v>12</v>
      </c>
      <c r="T69" s="1072">
        <v>31</v>
      </c>
      <c r="U69" s="1072">
        <v>0</v>
      </c>
      <c r="V69" s="1072">
        <v>0</v>
      </c>
      <c r="W69" s="1072">
        <v>0</v>
      </c>
      <c r="X69" s="1072">
        <v>0</v>
      </c>
      <c r="Y69" s="1072">
        <v>0</v>
      </c>
      <c r="Z69" s="1072">
        <v>0</v>
      </c>
      <c r="AA69" s="1072">
        <v>0</v>
      </c>
      <c r="AB69" s="1072">
        <v>0</v>
      </c>
      <c r="AC69" s="1072">
        <v>0</v>
      </c>
      <c r="AD69" s="1072">
        <v>3</v>
      </c>
      <c r="AE69" s="1072">
        <v>3</v>
      </c>
      <c r="AF69" s="1072">
        <v>3</v>
      </c>
      <c r="AG69" s="1072">
        <v>24</v>
      </c>
      <c r="AH69" s="1072">
        <v>3</v>
      </c>
      <c r="AI69" s="1072">
        <v>3</v>
      </c>
      <c r="AJ69" s="1072">
        <v>3</v>
      </c>
      <c r="AK69" s="1072">
        <v>24</v>
      </c>
      <c r="AL69" s="1072">
        <v>3</v>
      </c>
      <c r="AM69" s="1072">
        <v>3</v>
      </c>
      <c r="AN69" s="1072">
        <v>3</v>
      </c>
      <c r="AO69" s="1072">
        <v>18</v>
      </c>
      <c r="AP69" s="1072">
        <v>3</v>
      </c>
      <c r="AQ69" s="1072">
        <v>3</v>
      </c>
      <c r="AR69" s="1072">
        <v>3</v>
      </c>
      <c r="AS69" s="1072">
        <v>18</v>
      </c>
      <c r="AT69" s="1072">
        <v>21</v>
      </c>
      <c r="AU69" s="1072">
        <v>21</v>
      </c>
      <c r="AV69" s="1072">
        <v>21</v>
      </c>
      <c r="AW69" s="1072">
        <v>21</v>
      </c>
      <c r="AX69" s="1072">
        <v>11</v>
      </c>
      <c r="AY69" s="1072">
        <v>3</v>
      </c>
      <c r="AZ69" s="1072">
        <v>11</v>
      </c>
      <c r="BA69" s="1072">
        <v>0</v>
      </c>
      <c r="BB69" s="1072">
        <v>4</v>
      </c>
      <c r="BC69" s="1072">
        <v>115</v>
      </c>
      <c r="BD69" s="445">
        <v>10</v>
      </c>
      <c r="BE69" s="445">
        <v>10</v>
      </c>
      <c r="BF69" s="445">
        <v>10</v>
      </c>
      <c r="BG69" s="445">
        <v>10</v>
      </c>
      <c r="BH69" s="445">
        <v>10</v>
      </c>
      <c r="BI69" s="1072">
        <v>23</v>
      </c>
    </row>
  </sheetData>
  <sheetProtection formatColumns="0" formatRows="0" insertRows="0" deleteColumns="0" deleteRows="0" sort="0" autoFilter="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xr:uid="{00000000-0002-0000-1900-000000000000}">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xr:uid="{00000000-0002-0000-1900-000001000000}">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xr:uid="{00000000-0002-0000-1900-000002000000}"/>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xr:uid="{00000000-0002-0000-1900-000003000000}"/>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xr:uid="{00000000-0002-0000-1900-000004000000}">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xr:uid="{00000000-0002-0000-1900-000005000000}"/>
    <dataValidation type="decimal" allowBlank="1" showErrorMessage="1" errorTitle="Ошибка" error="Допускается ввод только действительных чисел!" sqref="AO52:AO53 AG8:AG11 AO8:AO9 AG52:AG55" xr:uid="{00000000-0002-0000-1900-000006000000}">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xr:uid="{00000000-0002-0000-1900-000007000000}">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xr:uid="{00000000-0002-0000-1900-000008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F3627-D2E8-651B-3CE8-EF2447D841AB}">
  <sheetPr>
    <tabColor theme="6" tint="0.39997558519241921"/>
  </sheetPr>
  <dimension ref="A1:AQ58"/>
  <sheetViews>
    <sheetView showGridLines="0" topLeftCell="P23" zoomScale="90" workbookViewId="0"/>
  </sheetViews>
  <sheetFormatPr defaultColWidth="10.59765625" defaultRowHeight="14.25" customHeight="1"/>
  <cols>
    <col min="1" max="1" width="10.59765625" style="2016" hidden="1"/>
    <col min="2" max="2" width="11" style="2016" hidden="1" customWidth="1"/>
    <col min="3" max="3" width="10.59765625" style="2016" hidden="1"/>
    <col min="4" max="4" width="11.796875" style="2016" hidden="1" customWidth="1"/>
    <col min="5" max="5" width="10" style="2016" hidden="1" customWidth="1"/>
    <col min="6" max="6" width="8.69921875" style="2016" hidden="1" customWidth="1"/>
    <col min="7" max="7" width="7.59765625" style="2016" hidden="1" customWidth="1"/>
    <col min="8" max="8" width="11.3984375" style="2016" hidden="1" customWidth="1"/>
    <col min="9" max="9" width="14.09765625" style="2016" hidden="1" customWidth="1"/>
    <col min="10" max="10" width="9.796875" style="2016" hidden="1" customWidth="1"/>
    <col min="11" max="11" width="14.69921875" style="2016" hidden="1" customWidth="1"/>
    <col min="12" max="12" width="19.09765625" style="2216" hidden="1" customWidth="1"/>
    <col min="13" max="14" width="12.296875" style="2006" hidden="1" customWidth="1"/>
    <col min="15" max="15" width="23.3984375" style="2006" hidden="1" customWidth="1"/>
    <col min="16" max="16" width="3" style="2217" customWidth="1"/>
    <col min="17" max="18" width="3" style="2215" customWidth="1"/>
    <col min="19" max="19" width="12" style="2218" customWidth="1"/>
    <col min="20" max="20" width="35" style="2004" customWidth="1"/>
    <col min="21" max="21" width="9.765625E-2" style="2004" customWidth="1"/>
    <col min="22" max="24" width="24.69921875" style="2004" hidden="1" customWidth="1"/>
    <col min="25" max="25" width="11.69921875" style="2004" hidden="1" customWidth="1"/>
    <col min="26" max="26" width="3.69921875" style="2004" hidden="1" customWidth="1"/>
    <col min="27" max="27" width="11.69921875" style="2004" hidden="1" customWidth="1"/>
    <col min="28" max="28" width="8.59765625" style="2004" hidden="1" customWidth="1"/>
    <col min="29" max="29" width="24.69921875" style="2004" customWidth="1"/>
    <col min="30" max="31" width="24" style="2004" customWidth="1"/>
    <col min="32" max="32" width="11" style="2004" customWidth="1"/>
    <col min="33" max="33" width="3.69921875" style="2004" customWidth="1"/>
    <col min="34" max="34" width="11" style="2004" customWidth="1"/>
    <col min="35" max="35" width="8.59765625" style="2004" hidden="1" customWidth="1"/>
    <col min="36" max="36" width="4" style="2004" customWidth="1"/>
    <col min="37" max="37" width="115" style="2004" customWidth="1"/>
    <col min="38" max="42" width="10" style="2017" customWidth="1"/>
    <col min="43" max="43" width="10.59765625" style="2004" hidden="1"/>
  </cols>
  <sheetData>
    <row r="1" spans="1:43" ht="22.5" hidden="1" customHeight="1">
      <c r="X1" s="262"/>
      <c r="Y1" s="262"/>
      <c r="AE1" s="262"/>
      <c r="AF1" s="262"/>
      <c r="AQ1" s="1072" t="s">
        <v>14</v>
      </c>
    </row>
    <row r="2" spans="1:43" ht="23.25" hidden="1" customHeight="1">
      <c r="A2" s="1280"/>
      <c r="B2" s="1280"/>
      <c r="C2" s="1280"/>
      <c r="D2" s="1280"/>
      <c r="E2" s="3199">
        <v>1</v>
      </c>
      <c r="F2" s="1280"/>
      <c r="G2" s="1280"/>
      <c r="H2" s="1280"/>
      <c r="I2" s="1280"/>
      <c r="J2" s="1280"/>
      <c r="K2" s="1280"/>
      <c r="L2" s="1281"/>
      <c r="M2" s="1282"/>
      <c r="N2" s="1282"/>
      <c r="O2" s="1282"/>
      <c r="P2" s="295"/>
      <c r="Q2" s="294"/>
      <c r="R2" s="289"/>
      <c r="S2" s="1410" t="e">
        <f>INDEX(PT_DIFFERENTIATION_NUM_NTAR,MATCH(A2,PT_DIFFERENTIATION_NTAR_ID,0))</f>
        <v>#N/A</v>
      </c>
      <c r="T2" s="233" t="s">
        <v>137</v>
      </c>
      <c r="U2" s="235"/>
      <c r="V2" s="3185"/>
      <c r="W2" s="3186"/>
      <c r="X2" s="3186"/>
      <c r="Y2" s="3186"/>
      <c r="Z2" s="3186"/>
      <c r="AA2" s="3186"/>
      <c r="AB2" s="3187"/>
      <c r="AC2" s="3185" t="e">
        <f>INDEX(PT_DIFFERENTIATION_NTAR,MATCH(A2,PT_DIFFERENTIATION_NTAR_ID,0))</f>
        <v>#N/A</v>
      </c>
      <c r="AD2" s="3186"/>
      <c r="AE2" s="3186"/>
      <c r="AF2" s="3186"/>
      <c r="AG2" s="3186"/>
      <c r="AH2" s="3186"/>
      <c r="AI2" s="3186"/>
      <c r="AJ2" s="3187"/>
      <c r="AK2"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4"/>
      <c r="AN2" s="434" t="str">
        <f t="shared" ref="AN2:AN13" si="0">IF(T2="","",T2)</f>
        <v>Наименование тарифа</v>
      </c>
      <c r="AO2" s="434"/>
      <c r="AP2" s="434"/>
      <c r="AQ2" s="1072">
        <v>0</v>
      </c>
    </row>
    <row r="3" spans="1:43" ht="23.25" hidden="1" customHeight="1">
      <c r="A3" s="1280"/>
      <c r="B3" s="1280"/>
      <c r="C3" s="1280"/>
      <c r="D3" s="1280"/>
      <c r="E3" s="3200"/>
      <c r="F3" s="3199">
        <v>1</v>
      </c>
      <c r="G3" s="1280"/>
      <c r="H3" s="1280"/>
      <c r="I3" s="1280"/>
      <c r="J3" s="1280"/>
      <c r="K3" s="1280"/>
      <c r="L3" s="1281"/>
      <c r="M3" s="1282"/>
      <c r="N3" s="1282"/>
      <c r="O3" s="1282"/>
      <c r="P3" s="1404"/>
      <c r="Q3" s="286"/>
      <c r="R3" s="287"/>
      <c r="S3" s="1410" t="e">
        <f>INDEX(PT_DIFFERENTIATION_NUM_TER,MATCH(B3,PT_DIFFERENTIATION_TER_ID,0))</f>
        <v>#N/A</v>
      </c>
      <c r="T3" s="243" t="s">
        <v>432</v>
      </c>
      <c r="U3" s="235"/>
      <c r="V3" s="3185"/>
      <c r="W3" s="3186"/>
      <c r="X3" s="3186"/>
      <c r="Y3" s="3186"/>
      <c r="Z3" s="3186"/>
      <c r="AA3" s="3186"/>
      <c r="AB3" s="3187"/>
      <c r="AC3" s="3185" t="e">
        <f>INDEX(PT_DIFFERENTIATION_TER,MATCH(B3,PT_DIFFERENTIATION_TER_ID,0))</f>
        <v>#N/A</v>
      </c>
      <c r="AD3" s="3186"/>
      <c r="AE3" s="3186"/>
      <c r="AF3" s="3186"/>
      <c r="AG3" s="3186"/>
      <c r="AH3" s="3186"/>
      <c r="AI3" s="3186"/>
      <c r="AJ3" s="3187"/>
      <c r="AK3" s="1175" t="s">
        <v>433</v>
      </c>
      <c r="AM3" s="434"/>
      <c r="AN3" s="434" t="str">
        <f t="shared" si="0"/>
        <v>Территория действия тарифа</v>
      </c>
      <c r="AO3" s="434"/>
      <c r="AP3" s="434"/>
      <c r="AQ3" s="1072">
        <v>0</v>
      </c>
    </row>
    <row r="4" spans="1:43" ht="23.25" hidden="1" customHeight="1">
      <c r="A4" s="1280"/>
      <c r="B4" s="1280"/>
      <c r="C4" s="1280"/>
      <c r="D4" s="1280"/>
      <c r="E4" s="3200"/>
      <c r="F4" s="3200"/>
      <c r="G4" s="3199">
        <v>1</v>
      </c>
      <c r="H4" s="1280"/>
      <c r="I4" s="1280"/>
      <c r="J4" s="1280"/>
      <c r="K4" s="1280"/>
      <c r="L4" s="1281"/>
      <c r="M4" s="1282"/>
      <c r="N4" s="1282"/>
      <c r="O4" s="1282"/>
      <c r="P4" s="288"/>
      <c r="Q4" s="286"/>
      <c r="R4" s="287"/>
      <c r="S4" s="1410" t="e">
        <f>INDEX(PT_DIFFERENTIATION_NUM_CS,MATCH(C4,PT_DIFFERENTIATION_CS_ID,0))</f>
        <v>#N/A</v>
      </c>
      <c r="T4" s="244" t="s">
        <v>549</v>
      </c>
      <c r="U4" s="235"/>
      <c r="V4" s="3185"/>
      <c r="W4" s="3186"/>
      <c r="X4" s="3186"/>
      <c r="Y4" s="3186"/>
      <c r="Z4" s="3186"/>
      <c r="AA4" s="3186"/>
      <c r="AB4" s="3187"/>
      <c r="AC4" s="3185" t="e">
        <f>INDEX(PT_DIFFERENTIATION_CS,MATCH(C4,PT_DIFFERENTIATION_CS_ID,0))</f>
        <v>#N/A</v>
      </c>
      <c r="AD4" s="3186"/>
      <c r="AE4" s="3186"/>
      <c r="AF4" s="3186"/>
      <c r="AG4" s="3186"/>
      <c r="AH4" s="3186"/>
      <c r="AI4" s="3186"/>
      <c r="AJ4" s="3187"/>
      <c r="AK4" s="1175" t="s">
        <v>550</v>
      </c>
      <c r="AM4" s="434"/>
      <c r="AN4" s="434" t="str">
        <f t="shared" si="0"/>
        <v>Наименование централизованной системы водоотведения</v>
      </c>
      <c r="AO4" s="434"/>
      <c r="AP4" s="434"/>
      <c r="AQ4" s="1072">
        <v>0</v>
      </c>
    </row>
    <row r="5" spans="1:43" ht="23.25" hidden="1" customHeight="1">
      <c r="A5" s="1280"/>
      <c r="B5" s="1280"/>
      <c r="C5" s="1280"/>
      <c r="D5" s="1280"/>
      <c r="E5" s="3200"/>
      <c r="F5" s="3200"/>
      <c r="G5" s="3200"/>
      <c r="H5" s="3200"/>
      <c r="I5" s="3197" t="e">
        <f>S4&amp;".1"</f>
        <v>#N/A</v>
      </c>
      <c r="J5" s="1280"/>
      <c r="K5" s="1280"/>
      <c r="L5" s="1281"/>
      <c r="P5" s="3198">
        <v>1</v>
      </c>
      <c r="Q5" s="1398"/>
      <c r="R5" s="290"/>
      <c r="S5" s="1410" t="e">
        <f>$I5</f>
        <v>#N/A</v>
      </c>
      <c r="T5" s="220" t="s">
        <v>516</v>
      </c>
      <c r="U5" s="235"/>
      <c r="V5" s="3266"/>
      <c r="W5" s="3267"/>
      <c r="X5" s="3267"/>
      <c r="Y5" s="3267"/>
      <c r="Z5" s="3267"/>
      <c r="AA5" s="3267"/>
      <c r="AB5" s="3268"/>
      <c r="AC5" s="3269"/>
      <c r="AD5" s="3270"/>
      <c r="AE5" s="3270"/>
      <c r="AF5" s="3270"/>
      <c r="AG5" s="3270"/>
      <c r="AH5" s="3270"/>
      <c r="AI5" s="3270"/>
      <c r="AJ5" s="3271"/>
      <c r="AK5" s="1175" t="s">
        <v>517</v>
      </c>
      <c r="AM5" s="434"/>
      <c r="AN5" s="434" t="str">
        <f t="shared" si="0"/>
        <v>Наименование признака дифференциации</v>
      </c>
      <c r="AO5" s="434"/>
      <c r="AP5" s="434"/>
      <c r="AQ5" s="1072">
        <v>0</v>
      </c>
    </row>
    <row r="6" spans="1:43" ht="23.25" hidden="1" customHeight="1">
      <c r="A6" s="1280"/>
      <c r="B6" s="1280"/>
      <c r="C6" s="1280"/>
      <c r="D6" s="1280"/>
      <c r="E6" s="3200"/>
      <c r="F6" s="3200"/>
      <c r="G6" s="3200"/>
      <c r="H6" s="3200"/>
      <c r="I6" s="3220"/>
      <c r="J6" s="3197" t="e">
        <f>I5&amp;".1"</f>
        <v>#N/A</v>
      </c>
      <c r="K6" s="1280"/>
      <c r="L6" s="1281" t="s">
        <v>441</v>
      </c>
      <c r="P6" s="3198"/>
      <c r="Q6" s="3198">
        <v>1</v>
      </c>
      <c r="R6" s="291"/>
      <c r="S6" s="1410" t="e">
        <f>$J6</f>
        <v>#N/A</v>
      </c>
      <c r="T6" s="221" t="s">
        <v>442</v>
      </c>
      <c r="U6" s="235"/>
      <c r="V6" s="3188"/>
      <c r="W6" s="3189"/>
      <c r="X6" s="3189"/>
      <c r="Y6" s="3189"/>
      <c r="Z6" s="3189"/>
      <c r="AA6" s="3189"/>
      <c r="AB6" s="3190"/>
      <c r="AC6" s="3188"/>
      <c r="AD6" s="3189"/>
      <c r="AE6" s="3189"/>
      <c r="AF6" s="3189"/>
      <c r="AG6" s="3189"/>
      <c r="AH6" s="3189"/>
      <c r="AI6" s="3189"/>
      <c r="AJ6" s="3190"/>
      <c r="AK6" s="1224" t="s">
        <v>518</v>
      </c>
      <c r="AM6" s="434"/>
      <c r="AN6" s="434" t="str">
        <f t="shared" si="0"/>
        <v>Группа потребителей</v>
      </c>
      <c r="AO6" s="434"/>
      <c r="AP6" s="434"/>
      <c r="AQ6" s="1072">
        <v>0</v>
      </c>
    </row>
    <row r="7" spans="1:43" ht="23.25" hidden="1" customHeight="1">
      <c r="A7" s="1280"/>
      <c r="B7" s="1280"/>
      <c r="C7" s="1280"/>
      <c r="D7" s="1280"/>
      <c r="E7" s="3200"/>
      <c r="F7" s="3200"/>
      <c r="G7" s="3200"/>
      <c r="H7" s="3200"/>
      <c r="I7" s="3220"/>
      <c r="J7" s="3220"/>
      <c r="K7" s="3197" t="e">
        <f>J6&amp;".1"</f>
        <v>#N/A</v>
      </c>
      <c r="L7" s="1281"/>
      <c r="P7" s="3198"/>
      <c r="Q7" s="3198"/>
      <c r="R7" s="291">
        <v>1</v>
      </c>
      <c r="S7" s="1410" t="e">
        <f>$K7</f>
        <v>#N/A</v>
      </c>
      <c r="T7" s="1354"/>
      <c r="U7" s="235"/>
      <c r="V7" s="685"/>
      <c r="W7" s="685"/>
      <c r="X7" s="1174"/>
      <c r="Y7" s="3202"/>
      <c r="Z7" s="3048" t="s">
        <v>67</v>
      </c>
      <c r="AA7" s="3202"/>
      <c r="AB7" s="3048" t="s">
        <v>67</v>
      </c>
      <c r="AC7" s="685"/>
      <c r="AD7" s="685"/>
      <c r="AE7" s="1174"/>
      <c r="AF7" s="3202"/>
      <c r="AG7" s="3048" t="s">
        <v>67</v>
      </c>
      <c r="AH7" s="3221"/>
      <c r="AI7" s="3048" t="s">
        <v>67</v>
      </c>
      <c r="AJ7" s="1355"/>
      <c r="AK7" s="3265"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5" t="e">
        <f ca="1">STRCHECKDATE(V8:AJ8)</f>
        <v>#NAME?</v>
      </c>
      <c r="AM7" s="434"/>
      <c r="AN7" s="434" t="str">
        <f t="shared" si="0"/>
        <v/>
      </c>
      <c r="AO7" s="434"/>
      <c r="AP7" s="434"/>
      <c r="AQ7" s="1072">
        <v>0</v>
      </c>
    </row>
    <row r="8" spans="1:43" ht="14.25" hidden="1" customHeight="1">
      <c r="A8" s="1280"/>
      <c r="B8" s="1280"/>
      <c r="C8" s="1280"/>
      <c r="D8" s="1280"/>
      <c r="E8" s="3200"/>
      <c r="F8" s="3200"/>
      <c r="G8" s="3200"/>
      <c r="H8" s="3200"/>
      <c r="I8" s="3220"/>
      <c r="J8" s="3220"/>
      <c r="K8" s="3197"/>
      <c r="L8" s="1281"/>
      <c r="P8" s="3198"/>
      <c r="Q8" s="3198"/>
      <c r="R8" s="291"/>
      <c r="S8" s="1407"/>
      <c r="T8" s="235"/>
      <c r="U8" s="235"/>
      <c r="V8" s="260"/>
      <c r="W8" s="260"/>
      <c r="X8" s="263" t="str">
        <f>Y7&amp;"-"&amp;AA7</f>
        <v>-</v>
      </c>
      <c r="Y8" s="3203"/>
      <c r="Z8" s="3048"/>
      <c r="AA8" s="3203"/>
      <c r="AB8" s="3048"/>
      <c r="AC8" s="260"/>
      <c r="AD8" s="260"/>
      <c r="AE8" s="263" t="str">
        <f>AF7&amp;"-"&amp;AH7</f>
        <v>-</v>
      </c>
      <c r="AF8" s="3203"/>
      <c r="AG8" s="3048"/>
      <c r="AH8" s="3222"/>
      <c r="AI8" s="3048"/>
      <c r="AJ8" s="1356"/>
      <c r="AK8" s="3265"/>
      <c r="AM8" s="434"/>
      <c r="AN8" s="434" t="str">
        <f t="shared" si="0"/>
        <v/>
      </c>
      <c r="AO8" s="434"/>
      <c r="AP8" s="434"/>
      <c r="AQ8" s="1072">
        <v>0</v>
      </c>
    </row>
    <row r="9" spans="1:43" ht="21" hidden="1" customHeight="1">
      <c r="A9" s="1280"/>
      <c r="B9" s="1280"/>
      <c r="C9" s="1280"/>
      <c r="D9" s="1280"/>
      <c r="E9" s="3200"/>
      <c r="F9" s="3200"/>
      <c r="G9" s="3200"/>
      <c r="H9" s="3200"/>
      <c r="I9" s="3220"/>
      <c r="J9" s="3197"/>
      <c r="K9" s="1280"/>
      <c r="L9" s="1281"/>
      <c r="P9" s="3198"/>
      <c r="Q9" s="3198"/>
      <c r="R9" s="290"/>
      <c r="S9" s="1195"/>
      <c r="T9" s="222" t="s">
        <v>519</v>
      </c>
      <c r="U9" s="301"/>
      <c r="V9" s="301"/>
      <c r="W9" s="301"/>
      <c r="X9" s="301"/>
      <c r="Y9" s="301"/>
      <c r="Z9" s="301"/>
      <c r="AA9" s="301"/>
      <c r="AB9" s="301"/>
      <c r="AC9" s="301"/>
      <c r="AD9" s="301"/>
      <c r="AE9" s="301"/>
      <c r="AF9" s="301"/>
      <c r="AG9" s="301"/>
      <c r="AH9" s="301"/>
      <c r="AI9" s="301"/>
      <c r="AJ9" s="301"/>
      <c r="AK9" s="1175" t="s">
        <v>520</v>
      </c>
      <c r="AM9" s="434"/>
      <c r="AN9" s="434" t="str">
        <f t="shared" si="0"/>
        <v>Добавить значение признака дифференциации</v>
      </c>
      <c r="AO9" s="434"/>
      <c r="AP9" s="434"/>
      <c r="AQ9" s="1072">
        <v>0</v>
      </c>
    </row>
    <row r="10" spans="1:43" ht="21" hidden="1" customHeight="1">
      <c r="A10" s="1280"/>
      <c r="B10" s="1280"/>
      <c r="C10" s="1280"/>
      <c r="D10" s="1280"/>
      <c r="E10" s="3200"/>
      <c r="F10" s="3200"/>
      <c r="G10" s="3200"/>
      <c r="H10" s="3200"/>
      <c r="I10" s="3197"/>
      <c r="J10" s="1280"/>
      <c r="K10" s="1280"/>
      <c r="L10" s="1281"/>
      <c r="P10" s="3198"/>
      <c r="Q10" s="1398"/>
      <c r="R10" s="290"/>
      <c r="S10" s="1195"/>
      <c r="T10" s="299" t="s">
        <v>447</v>
      </c>
      <c r="U10" s="301"/>
      <c r="V10" s="301"/>
      <c r="W10" s="301"/>
      <c r="X10" s="301"/>
      <c r="Y10" s="301"/>
      <c r="Z10" s="301"/>
      <c r="AA10" s="301"/>
      <c r="AB10" s="300"/>
      <c r="AC10" s="301"/>
      <c r="AD10" s="301"/>
      <c r="AE10" s="301"/>
      <c r="AF10" s="301"/>
      <c r="AG10" s="301"/>
      <c r="AH10" s="301"/>
      <c r="AI10" s="300"/>
      <c r="AJ10" s="301"/>
      <c r="AK10" s="1357"/>
      <c r="AM10" s="434"/>
      <c r="AN10" s="434" t="str">
        <f t="shared" si="0"/>
        <v>Добавить группу потребителей</v>
      </c>
      <c r="AO10" s="434"/>
      <c r="AP10" s="434"/>
      <c r="AQ10" s="1072">
        <v>0</v>
      </c>
    </row>
    <row r="11" spans="1:43" ht="21" hidden="1" customHeight="1">
      <c r="A11" s="1280"/>
      <c r="B11" s="1280"/>
      <c r="C11" s="1280"/>
      <c r="D11" s="1280"/>
      <c r="E11" s="3200"/>
      <c r="F11" s="3200"/>
      <c r="G11" s="3200"/>
      <c r="H11" s="3199"/>
      <c r="I11" s="1280"/>
      <c r="J11" s="1280"/>
      <c r="K11" s="1280"/>
      <c r="L11" s="1281"/>
      <c r="M11" s="1282"/>
      <c r="N11" s="1282"/>
      <c r="O11" s="471"/>
      <c r="P11" s="294"/>
      <c r="Q11" s="309"/>
      <c r="R11" s="289"/>
      <c r="S11" s="1195"/>
      <c r="T11" s="306" t="s">
        <v>521</v>
      </c>
      <c r="U11" s="301"/>
      <c r="V11" s="301"/>
      <c r="W11" s="301"/>
      <c r="X11" s="301"/>
      <c r="Y11" s="301"/>
      <c r="Z11" s="301"/>
      <c r="AA11" s="301"/>
      <c r="AB11" s="300"/>
      <c r="AC11" s="301"/>
      <c r="AD11" s="301"/>
      <c r="AE11" s="301"/>
      <c r="AF11" s="301"/>
      <c r="AG11" s="301"/>
      <c r="AH11" s="301"/>
      <c r="AI11" s="300"/>
      <c r="AJ11" s="301"/>
      <c r="AK11" s="238"/>
      <c r="AM11" s="434"/>
      <c r="AN11" s="434" t="str">
        <f t="shared" si="0"/>
        <v>Добавить наименование признака дифференциации</v>
      </c>
      <c r="AO11" s="434"/>
      <c r="AP11" s="434"/>
      <c r="AQ11" s="1072">
        <v>0</v>
      </c>
    </row>
    <row r="12" spans="1:43" s="2017" customFormat="1" ht="14.25" hidden="1" customHeight="1">
      <c r="A12" s="1260"/>
      <c r="B12" s="1260"/>
      <c r="C12" s="1231"/>
      <c r="D12" s="1231"/>
      <c r="E12" s="3200"/>
      <c r="F12" s="3199"/>
      <c r="G12" s="1231"/>
      <c r="H12" s="1231"/>
      <c r="I12" s="1231"/>
      <c r="J12" s="1231"/>
      <c r="K12" s="1231"/>
      <c r="L12" s="1411"/>
      <c r="M12" s="1238"/>
      <c r="N12" s="1238"/>
      <c r="P12" s="1233"/>
      <c r="Q12" s="1234"/>
      <c r="R12" s="1233"/>
      <c r="S12" s="1239"/>
      <c r="T12" s="1242" t="s">
        <v>181</v>
      </c>
      <c r="U12" s="1241"/>
      <c r="V12" s="1241"/>
      <c r="W12" s="1241"/>
      <c r="X12" s="1241"/>
      <c r="Y12" s="1241"/>
      <c r="Z12" s="1241"/>
      <c r="AA12" s="1241"/>
      <c r="AB12" s="1241"/>
      <c r="AC12" s="1241"/>
      <c r="AD12" s="1241"/>
      <c r="AE12" s="1241"/>
      <c r="AF12" s="1241"/>
      <c r="AG12" s="1241"/>
      <c r="AH12" s="1241"/>
      <c r="AI12" s="1241"/>
      <c r="AJ12" s="1241"/>
      <c r="AK12" s="1241"/>
      <c r="AM12" s="717"/>
      <c r="AN12" s="717" t="str">
        <f t="shared" si="0"/>
        <v>Добавить централизованную систему для дифференциации</v>
      </c>
      <c r="AO12" s="717"/>
      <c r="AP12" s="717"/>
      <c r="AQ12" s="452">
        <v>0</v>
      </c>
    </row>
    <row r="13" spans="1:43" s="2017" customFormat="1" ht="14.25" hidden="1" customHeight="1">
      <c r="A13" s="1260"/>
      <c r="B13" s="1260"/>
      <c r="C13" s="1260"/>
      <c r="D13" s="1260"/>
      <c r="E13" s="3199"/>
      <c r="F13" s="1260"/>
      <c r="G13" s="1260"/>
      <c r="H13" s="1260"/>
      <c r="I13" s="1260"/>
      <c r="J13" s="1260"/>
      <c r="K13" s="1260"/>
      <c r="L13" s="1263"/>
      <c r="M13" s="1238"/>
      <c r="N13" s="1238"/>
      <c r="O13" s="452"/>
      <c r="P13" s="314"/>
      <c r="Q13" s="1261"/>
      <c r="R13" s="314"/>
      <c r="S13" s="1239"/>
      <c r="T13" s="1242" t="s">
        <v>188</v>
      </c>
      <c r="U13" s="1241"/>
      <c r="V13" s="1241"/>
      <c r="W13" s="1241"/>
      <c r="X13" s="1241"/>
      <c r="Y13" s="1241"/>
      <c r="Z13" s="1241"/>
      <c r="AA13" s="1241"/>
      <c r="AB13" s="1241"/>
      <c r="AC13" s="1241"/>
      <c r="AD13" s="1241"/>
      <c r="AE13" s="1241"/>
      <c r="AF13" s="1241"/>
      <c r="AG13" s="1241"/>
      <c r="AH13" s="1241"/>
      <c r="AI13" s="1241"/>
      <c r="AJ13" s="1241"/>
      <c r="AK13" s="1241"/>
      <c r="AM13" s="434"/>
      <c r="AN13" s="434" t="str">
        <f t="shared" si="0"/>
        <v>Добавить территорию для дифференциации</v>
      </c>
      <c r="AO13" s="434"/>
      <c r="AP13" s="434"/>
      <c r="AQ13" s="445">
        <v>0</v>
      </c>
    </row>
    <row r="14" spans="1:43" ht="14.25" hidden="1" customHeight="1">
      <c r="AB14" s="262"/>
      <c r="AI14" s="262"/>
      <c r="AQ14" s="1072">
        <v>0</v>
      </c>
    </row>
    <row r="15" spans="1:43" ht="14.25" hidden="1" customHeight="1">
      <c r="AC15" s="1277"/>
      <c r="AD15" s="1277"/>
      <c r="AE15" s="1278"/>
      <c r="AF15" s="3204"/>
      <c r="AG15" s="3205" t="s">
        <v>67</v>
      </c>
      <c r="AH15" s="3204"/>
      <c r="AI15" s="3205" t="s">
        <v>67</v>
      </c>
      <c r="AQ15" s="1072">
        <v>0</v>
      </c>
    </row>
    <row r="16" spans="1:43" ht="14.25" hidden="1" customHeight="1">
      <c r="AC16" s="1277"/>
      <c r="AD16" s="1277"/>
      <c r="AE16" s="263" t="str">
        <f>AF15&amp;"-"&amp;AH15</f>
        <v>-</v>
      </c>
      <c r="AF16" s="3205"/>
      <c r="AG16" s="3205"/>
      <c r="AH16" s="3205"/>
      <c r="AI16" s="3205"/>
      <c r="AQ16" s="1072">
        <v>0</v>
      </c>
    </row>
    <row r="17" spans="1:43" ht="14.25" hidden="1" customHeight="1">
      <c r="AI17" s="262"/>
      <c r="AQ17" s="1072">
        <v>0</v>
      </c>
    </row>
    <row r="18" spans="1:43" s="2016" customFormat="1" ht="22.5" hidden="1" customHeight="1">
      <c r="L18" s="1395"/>
      <c r="M18" s="1279"/>
      <c r="N18" s="1279"/>
      <c r="O18" s="1284" t="s">
        <v>449</v>
      </c>
      <c r="P18" s="1279"/>
      <c r="Q18" s="1288"/>
      <c r="R18" s="1288"/>
      <c r="S18" s="663"/>
      <c r="Y18" s="1284"/>
      <c r="AA18" s="1284"/>
      <c r="AB18" s="1283"/>
      <c r="AF18" s="1284"/>
      <c r="AH18" s="1284"/>
      <c r="AI18" s="1283"/>
      <c r="AL18" s="445"/>
      <c r="AM18" s="445"/>
      <c r="AN18" s="445"/>
      <c r="AO18" s="445"/>
      <c r="AP18" s="445"/>
      <c r="AQ18" s="1077">
        <v>0</v>
      </c>
    </row>
    <row r="19" spans="1:43" s="2016" customFormat="1" ht="14.25" hidden="1" customHeight="1">
      <c r="L19" s="1395"/>
      <c r="M19" s="1279"/>
      <c r="N19" s="1279"/>
      <c r="O19" s="1279"/>
      <c r="P19" s="1279"/>
      <c r="Q19" s="1288"/>
      <c r="R19" s="1288"/>
      <c r="S19" s="663"/>
      <c r="AB19" s="1283"/>
      <c r="AI19" s="1283"/>
      <c r="AL19" s="445"/>
      <c r="AM19" s="445"/>
      <c r="AN19" s="445"/>
      <c r="AO19" s="445"/>
      <c r="AP19" s="445"/>
      <c r="AQ19" s="1077">
        <v>0</v>
      </c>
    </row>
    <row r="20" spans="1:43" s="2016" customFormat="1" ht="12" hidden="1" customHeight="1">
      <c r="L20" s="1395"/>
      <c r="M20" s="1279"/>
      <c r="N20" s="1279"/>
      <c r="O20" s="1281" t="s">
        <v>450</v>
      </c>
      <c r="P20" s="1279"/>
      <c r="Q20" s="1359"/>
      <c r="R20" s="1359"/>
      <c r="S20" s="663"/>
      <c r="T20" s="1077" t="s">
        <v>451</v>
      </c>
      <c r="Z20" s="121" t="s">
        <v>452</v>
      </c>
      <c r="AB20" s="121" t="s">
        <v>453</v>
      </c>
      <c r="AC20" s="1077" t="s">
        <v>451</v>
      </c>
      <c r="AG20" s="121" t="s">
        <v>454</v>
      </c>
      <c r="AI20" s="121" t="s">
        <v>453</v>
      </c>
      <c r="AQ20" s="1077">
        <v>0</v>
      </c>
    </row>
    <row r="21" spans="1:43" ht="14.25" hidden="1" customHeight="1">
      <c r="O21" s="1281"/>
      <c r="AQ21" s="1072">
        <v>0</v>
      </c>
    </row>
    <row r="22" spans="1:43" ht="14.25" hidden="1" customHeight="1">
      <c r="O22" s="1281"/>
      <c r="AQ22" s="1072">
        <v>0</v>
      </c>
    </row>
    <row r="23" spans="1:43" ht="14.65" customHeight="1">
      <c r="Q23" s="310"/>
      <c r="R23" s="310"/>
      <c r="S23" s="1192"/>
      <c r="T23" s="297"/>
      <c r="U23" s="297"/>
      <c r="V23" s="443"/>
      <c r="W23" s="443"/>
      <c r="X23" s="443"/>
      <c r="Y23" s="443"/>
      <c r="Z23" s="443"/>
      <c r="AA23" s="443"/>
      <c r="AB23" s="443"/>
      <c r="AC23" s="443"/>
      <c r="AD23" s="443"/>
      <c r="AE23" s="443"/>
      <c r="AF23" s="443"/>
      <c r="AG23" s="443"/>
      <c r="AH23" s="443"/>
      <c r="AI23" s="443"/>
      <c r="AQ23" s="1072">
        <v>14</v>
      </c>
    </row>
    <row r="24" spans="1:43" ht="14.65" customHeight="1">
      <c r="Q24" s="310"/>
      <c r="R24" s="310"/>
      <c r="S24" s="3183"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3183"/>
      <c r="U24" s="3183"/>
      <c r="V24" s="3183"/>
      <c r="W24" s="3183"/>
      <c r="X24" s="3183"/>
      <c r="Y24" s="3183"/>
      <c r="Z24" s="3183"/>
      <c r="AA24" s="3183"/>
      <c r="AB24" s="3183"/>
      <c r="AC24" s="3183"/>
      <c r="AD24" s="3183"/>
      <c r="AE24" s="3183"/>
      <c r="AF24" s="3183"/>
      <c r="AG24" s="3183"/>
      <c r="AH24" s="3183"/>
      <c r="AI24" s="1160"/>
      <c r="AQ24" s="1072">
        <v>14</v>
      </c>
    </row>
    <row r="25" spans="1:43" ht="14.65" customHeight="1">
      <c r="Q25" s="310"/>
      <c r="R25" s="310"/>
      <c r="S25" s="3131" t="str">
        <f>IF(org=0,"Не определено",org)</f>
        <v>ООО "РСО"</v>
      </c>
      <c r="T25" s="3131"/>
      <c r="U25" s="3131"/>
      <c r="V25" s="3131"/>
      <c r="W25" s="3131"/>
      <c r="X25" s="3131"/>
      <c r="Y25" s="3131"/>
      <c r="Z25" s="3131"/>
      <c r="AA25" s="3131"/>
      <c r="AB25" s="3131"/>
      <c r="AC25" s="3131"/>
      <c r="AD25" s="3131"/>
      <c r="AE25" s="3131"/>
      <c r="AF25" s="3131"/>
      <c r="AG25" s="3131"/>
      <c r="AH25" s="3131"/>
      <c r="AI25" s="1160"/>
      <c r="AQ25" s="1072">
        <v>14</v>
      </c>
    </row>
    <row r="26" spans="1:43" ht="14.25" hidden="1" customHeight="1">
      <c r="Q26" s="310"/>
      <c r="R26" s="310"/>
      <c r="S26" s="1192"/>
      <c r="T26" s="297"/>
      <c r="U26" s="297"/>
      <c r="V26" s="257"/>
      <c r="W26" s="257"/>
      <c r="X26" s="257"/>
      <c r="Y26" s="257"/>
      <c r="Z26" s="257"/>
      <c r="AA26" s="257"/>
      <c r="AB26" s="257"/>
      <c r="AC26" s="257"/>
      <c r="AD26" s="257"/>
      <c r="AE26" s="257"/>
      <c r="AF26" s="257"/>
      <c r="AG26" s="257"/>
      <c r="AH26" s="257"/>
      <c r="AI26" s="257"/>
      <c r="AJ26" s="443"/>
      <c r="AQ26" s="1072">
        <v>0</v>
      </c>
    </row>
    <row r="27" spans="1:43" s="2028" customFormat="1" ht="25.5" hidden="1" customHeight="1">
      <c r="A27" s="1285"/>
      <c r="B27" s="1285"/>
      <c r="C27" s="1285"/>
      <c r="D27" s="1285"/>
      <c r="E27" s="1285"/>
      <c r="F27" s="1285"/>
      <c r="G27" s="1285"/>
      <c r="H27" s="1285"/>
      <c r="I27" s="1285"/>
      <c r="J27" s="1285"/>
      <c r="K27" s="1285"/>
      <c r="L27" s="1286"/>
      <c r="M27" s="1285"/>
      <c r="N27" s="1285"/>
      <c r="O27" s="1285"/>
      <c r="S27" s="3191" t="s">
        <v>42</v>
      </c>
      <c r="T27" s="3191"/>
      <c r="U27" s="1289"/>
      <c r="V27" s="3192" t="str">
        <f>IF(TITLE_NAME_OR_PR_CHANGE="",IF(TITLE_NAME_OR_PR="","",TITLE_NAME_OR_PR),TITLE_NAME_OR_PR_CHANGE)</f>
        <v/>
      </c>
      <c r="W27" s="3192"/>
      <c r="X27" s="3192"/>
      <c r="Y27" s="3192"/>
      <c r="Z27" s="3192"/>
      <c r="AA27" s="3192"/>
      <c r="AB27" s="261"/>
      <c r="AC27" s="3192" t="str">
        <f>IF(TITLE_NAME_OR_PR_CHANGE="",IF(TITLE_NAME_OR_PR="","",TITLE_NAME_OR_PR),TITLE_NAME_OR_PR_CHANGE)</f>
        <v/>
      </c>
      <c r="AD27" s="3192"/>
      <c r="AE27" s="3192"/>
      <c r="AF27" s="3192"/>
      <c r="AG27" s="3192"/>
      <c r="AH27" s="3192"/>
      <c r="AI27" s="261"/>
      <c r="AJ27" s="261"/>
      <c r="AK27" s="215"/>
      <c r="AL27" s="302"/>
      <c r="AM27" s="302"/>
      <c r="AN27" s="302"/>
      <c r="AO27" s="302"/>
      <c r="AP27" s="302"/>
      <c r="AQ27" s="352">
        <v>0</v>
      </c>
    </row>
    <row r="28" spans="1:43" s="2028" customFormat="1" ht="18.75" hidden="1" customHeight="1">
      <c r="A28" s="1285"/>
      <c r="B28" s="1285"/>
      <c r="C28" s="1285"/>
      <c r="D28" s="1285"/>
      <c r="E28" s="1285"/>
      <c r="F28" s="1285"/>
      <c r="G28" s="1285"/>
      <c r="H28" s="1285"/>
      <c r="I28" s="1285"/>
      <c r="J28" s="1285"/>
      <c r="K28" s="1285"/>
      <c r="L28" s="1286"/>
      <c r="M28" s="1285"/>
      <c r="N28" s="1285"/>
      <c r="O28" s="1285"/>
      <c r="S28" s="3191" t="s">
        <v>455</v>
      </c>
      <c r="T28" s="3191"/>
      <c r="U28" s="1289"/>
      <c r="V28" s="3201">
        <f>IF(TITLE_DATE_PR_CHANGE="",IF(TITLE_DATE_PR="","",TITLE_DATE_PR),TITLE_DATE_PR_CHANGE)</f>
        <v>45408</v>
      </c>
      <c r="W28" s="3201"/>
      <c r="X28" s="3201"/>
      <c r="Y28" s="3201"/>
      <c r="Z28" s="3201"/>
      <c r="AA28" s="3201"/>
      <c r="AB28" s="261"/>
      <c r="AC28" s="3201">
        <f>IF(TITLE_DATE_PR_CHANGE="",IF(TITLE_DATE_PR="","",TITLE_DATE_PR),TITLE_DATE_PR_CHANGE)</f>
        <v>45408</v>
      </c>
      <c r="AD28" s="3201"/>
      <c r="AE28" s="3201"/>
      <c r="AF28" s="3201"/>
      <c r="AG28" s="3201"/>
      <c r="AH28" s="3201"/>
      <c r="AI28" s="261"/>
      <c r="AJ28" s="261"/>
      <c r="AK28" s="215"/>
      <c r="AL28" s="302"/>
      <c r="AM28" s="302"/>
      <c r="AN28" s="302"/>
      <c r="AO28" s="302"/>
      <c r="AP28" s="302"/>
      <c r="AQ28" s="352">
        <v>0</v>
      </c>
    </row>
    <row r="29" spans="1:43" s="2028" customFormat="1" ht="18.75" hidden="1" customHeight="1">
      <c r="A29" s="1285"/>
      <c r="B29" s="1285"/>
      <c r="C29" s="1285"/>
      <c r="D29" s="1285"/>
      <c r="E29" s="1285"/>
      <c r="F29" s="1285"/>
      <c r="G29" s="1285"/>
      <c r="H29" s="1285"/>
      <c r="I29" s="1285"/>
      <c r="J29" s="1285"/>
      <c r="K29" s="1285"/>
      <c r="L29" s="1286"/>
      <c r="M29" s="1285"/>
      <c r="N29" s="1285"/>
      <c r="O29" s="1285"/>
      <c r="S29" s="3191" t="s">
        <v>456</v>
      </c>
      <c r="T29" s="3191"/>
      <c r="U29" s="1289"/>
      <c r="V29" s="3192" t="str">
        <f>IF(TITLE_NUMBER_PR_CHANGE="",IF(TITLE_NUMBER_PR="","",TITLE_NUMBER_PR),TITLE_NUMBER_PR_CHANGE)</f>
        <v>04-24/132, 04-24/131</v>
      </c>
      <c r="W29" s="3192"/>
      <c r="X29" s="3192"/>
      <c r="Y29" s="3192"/>
      <c r="Z29" s="3192"/>
      <c r="AA29" s="3192"/>
      <c r="AB29" s="261"/>
      <c r="AC29" s="3192" t="str">
        <f>IF(TITLE_NUMBER_PR_CHANGE="",IF(TITLE_NUMBER_PR="","",TITLE_NUMBER_PR),TITLE_NUMBER_PR_CHANGE)</f>
        <v>04-24/132, 04-24/131</v>
      </c>
      <c r="AD29" s="3192"/>
      <c r="AE29" s="3192"/>
      <c r="AF29" s="3192"/>
      <c r="AG29" s="3192"/>
      <c r="AH29" s="3192"/>
      <c r="AI29" s="261"/>
      <c r="AJ29" s="261"/>
      <c r="AK29" s="215"/>
      <c r="AL29" s="302"/>
      <c r="AM29" s="302"/>
      <c r="AN29" s="302"/>
      <c r="AO29" s="302"/>
      <c r="AP29" s="302"/>
      <c r="AQ29" s="352">
        <v>0</v>
      </c>
    </row>
    <row r="30" spans="1:43" s="2028" customFormat="1" ht="18.75" hidden="1" customHeight="1">
      <c r="A30" s="1285"/>
      <c r="B30" s="1285"/>
      <c r="C30" s="1285"/>
      <c r="D30" s="1285"/>
      <c r="E30" s="1285"/>
      <c r="F30" s="1285"/>
      <c r="G30" s="1285"/>
      <c r="H30" s="1285"/>
      <c r="I30" s="1285"/>
      <c r="J30" s="1285"/>
      <c r="K30" s="1285"/>
      <c r="L30" s="1286"/>
      <c r="M30" s="1285"/>
      <c r="N30" s="1285"/>
      <c r="O30" s="1285"/>
      <c r="S30" s="3191" t="s">
        <v>43</v>
      </c>
      <c r="T30" s="3191"/>
      <c r="U30" s="1289"/>
      <c r="V30" s="3192" t="str">
        <f>IF(TITLE_IST_PUB_CHANGE="",IF(TITLE_IST_PUB="","",TITLE_IST_PUB),TITLE_IST_PUB_CHANGE)</f>
        <v/>
      </c>
      <c r="W30" s="3192"/>
      <c r="X30" s="3192"/>
      <c r="Y30" s="3192"/>
      <c r="Z30" s="3192"/>
      <c r="AA30" s="3192"/>
      <c r="AB30" s="261"/>
      <c r="AC30" s="3192" t="str">
        <f>IF(TITLE_IST_PUB_CHANGE="",IF(TITLE_IST_PUB="","",TITLE_IST_PUB),TITLE_IST_PUB_CHANGE)</f>
        <v/>
      </c>
      <c r="AD30" s="3192"/>
      <c r="AE30" s="3192"/>
      <c r="AF30" s="3192"/>
      <c r="AG30" s="3192"/>
      <c r="AH30" s="3192"/>
      <c r="AI30" s="261"/>
      <c r="AJ30" s="261"/>
      <c r="AK30" s="215"/>
      <c r="AL30" s="302"/>
      <c r="AM30" s="302"/>
      <c r="AN30" s="302"/>
      <c r="AO30" s="302"/>
      <c r="AP30" s="302"/>
      <c r="AQ30" s="352">
        <v>0</v>
      </c>
    </row>
    <row r="31" spans="1:43" ht="14.25" customHeight="1">
      <c r="Q31" s="310"/>
      <c r="R31" s="310"/>
      <c r="S31" s="1192"/>
      <c r="T31" s="297"/>
      <c r="U31" s="297"/>
      <c r="V31" s="257"/>
      <c r="W31" s="257"/>
      <c r="X31" s="257"/>
      <c r="Y31" s="257"/>
      <c r="Z31" s="257"/>
      <c r="AA31" s="257"/>
      <c r="AB31" s="257"/>
      <c r="AC31" s="257"/>
      <c r="AD31" s="257"/>
      <c r="AE31" s="257"/>
      <c r="AF31" s="257"/>
      <c r="AG31" s="257"/>
      <c r="AH31" s="257"/>
      <c r="AI31" s="257"/>
      <c r="AJ31" s="443"/>
      <c r="AQ31" s="1072">
        <v>0</v>
      </c>
    </row>
    <row r="32" spans="1:43" s="2028" customFormat="1" ht="18.75" customHeight="1">
      <c r="A32" s="1285"/>
      <c r="B32" s="1285"/>
      <c r="C32" s="1285"/>
      <c r="D32" s="1285"/>
      <c r="E32" s="1285"/>
      <c r="F32" s="1285"/>
      <c r="G32" s="1285"/>
      <c r="H32" s="1285"/>
      <c r="I32" s="1285"/>
      <c r="J32" s="1285"/>
      <c r="K32" s="1285"/>
      <c r="L32" s="1286"/>
      <c r="M32" s="1285"/>
      <c r="N32" s="1285"/>
      <c r="O32" s="1285"/>
      <c r="S32" s="3191" t="s">
        <v>457</v>
      </c>
      <c r="T32" s="3191"/>
      <c r="U32" s="1289"/>
      <c r="V32" s="3201">
        <f>IF(TITLE_DATE_PR_CHANGE="",IF(TITLE_DATE_PR="","",TITLE_DATE_PR),TITLE_DATE_PR_CHANGE)</f>
        <v>45408</v>
      </c>
      <c r="W32" s="3201"/>
      <c r="X32" s="3201"/>
      <c r="Y32" s="3201"/>
      <c r="Z32" s="3201"/>
      <c r="AA32" s="3201"/>
      <c r="AB32" s="261"/>
      <c r="AC32" s="3201">
        <f>IF(TITLE_DATE_PR_CHANGE="",IF(TITLE_DATE_PR="","",TITLE_DATE_PR),TITLE_DATE_PR_CHANGE)</f>
        <v>45408</v>
      </c>
      <c r="AD32" s="3201"/>
      <c r="AE32" s="3201"/>
      <c r="AF32" s="3201"/>
      <c r="AG32" s="3201"/>
      <c r="AH32" s="3201"/>
      <c r="AI32" s="261"/>
      <c r="AJ32" s="261"/>
      <c r="AK32" s="215"/>
      <c r="AL32" s="302"/>
      <c r="AM32" s="302"/>
      <c r="AN32" s="302"/>
      <c r="AO32" s="302"/>
      <c r="AP32" s="302"/>
      <c r="AQ32" s="352">
        <v>0</v>
      </c>
    </row>
    <row r="33" spans="1:43" s="2028" customFormat="1" ht="18.75" customHeight="1">
      <c r="A33" s="1285"/>
      <c r="B33" s="1285"/>
      <c r="C33" s="1285"/>
      <c r="D33" s="1285"/>
      <c r="E33" s="1285"/>
      <c r="F33" s="1285"/>
      <c r="G33" s="1285"/>
      <c r="H33" s="1285"/>
      <c r="I33" s="1285"/>
      <c r="J33" s="1285"/>
      <c r="K33" s="1285"/>
      <c r="L33" s="1286"/>
      <c r="M33" s="1285"/>
      <c r="N33" s="1285"/>
      <c r="O33" s="1285"/>
      <c r="S33" s="3191" t="s">
        <v>458</v>
      </c>
      <c r="T33" s="3191"/>
      <c r="U33" s="1289"/>
      <c r="V33" s="3192" t="str">
        <f>IF(TITLE_NUMBER_PR_CHANGE="",IF(TITLE_NUMBER_PR="","",TITLE_NUMBER_PR),TITLE_NUMBER_PR_CHANGE)</f>
        <v>04-24/132, 04-24/131</v>
      </c>
      <c r="W33" s="3192"/>
      <c r="X33" s="3192"/>
      <c r="Y33" s="3192"/>
      <c r="Z33" s="3192"/>
      <c r="AA33" s="3192"/>
      <c r="AB33" s="261"/>
      <c r="AC33" s="3192" t="str">
        <f>IF(TITLE_NUMBER_PR_CHANGE="",IF(TITLE_NUMBER_PR="","",TITLE_NUMBER_PR),TITLE_NUMBER_PR_CHANGE)</f>
        <v>04-24/132, 04-24/131</v>
      </c>
      <c r="AD33" s="3192"/>
      <c r="AE33" s="3192"/>
      <c r="AF33" s="3192"/>
      <c r="AG33" s="3192"/>
      <c r="AH33" s="3192"/>
      <c r="AI33" s="261"/>
      <c r="AJ33" s="261"/>
      <c r="AK33" s="215"/>
      <c r="AL33" s="302"/>
      <c r="AM33" s="302"/>
      <c r="AN33" s="302"/>
      <c r="AO33" s="302"/>
      <c r="AP33" s="302"/>
      <c r="AQ33" s="352">
        <v>0</v>
      </c>
    </row>
    <row r="34" spans="1:43" s="2028" customFormat="1" ht="1" customHeight="1">
      <c r="A34" s="1285"/>
      <c r="B34" s="1285"/>
      <c r="C34" s="1285"/>
      <c r="D34" s="1285"/>
      <c r="E34" s="1285"/>
      <c r="F34" s="1285"/>
      <c r="G34" s="1285"/>
      <c r="H34" s="1285"/>
      <c r="I34" s="1285"/>
      <c r="J34" s="1285"/>
      <c r="K34" s="1285"/>
      <c r="L34" s="1286"/>
      <c r="M34" s="1285"/>
      <c r="N34" s="1285"/>
      <c r="O34" s="1285"/>
      <c r="S34" s="258"/>
      <c r="T34" s="258"/>
      <c r="U34" s="1405"/>
      <c r="V34" s="261"/>
      <c r="W34" s="261"/>
      <c r="X34" s="261"/>
      <c r="Y34" s="261"/>
      <c r="Z34" s="261"/>
      <c r="AA34" s="261"/>
      <c r="AB34" s="213" t="s">
        <v>459</v>
      </c>
      <c r="AC34" s="261"/>
      <c r="AD34" s="261"/>
      <c r="AE34" s="261"/>
      <c r="AF34" s="261"/>
      <c r="AG34" s="261"/>
      <c r="AH34" s="261"/>
      <c r="AI34" s="213" t="s">
        <v>459</v>
      </c>
      <c r="AL34" s="302"/>
      <c r="AM34" s="302"/>
      <c r="AN34" s="302"/>
      <c r="AO34" s="302"/>
      <c r="AP34" s="302"/>
      <c r="AQ34" s="352">
        <v>1</v>
      </c>
    </row>
    <row r="35" spans="1:43" ht="14.65" customHeight="1">
      <c r="Q35" s="310"/>
      <c r="R35" s="310"/>
      <c r="S35" s="1192"/>
      <c r="T35" s="297"/>
      <c r="U35" s="1161"/>
      <c r="V35" s="3193"/>
      <c r="W35" s="3193"/>
      <c r="X35" s="3193"/>
      <c r="Y35" s="3193"/>
      <c r="Z35" s="3193"/>
      <c r="AA35" s="3193"/>
      <c r="AB35" s="3193"/>
      <c r="AC35" s="3193"/>
      <c r="AD35" s="3193"/>
      <c r="AE35" s="3193"/>
      <c r="AF35" s="3193"/>
      <c r="AG35" s="3193"/>
      <c r="AH35" s="3193"/>
      <c r="AI35" s="3193"/>
      <c r="AQ35" s="1072">
        <v>14</v>
      </c>
    </row>
    <row r="36" spans="1:43" ht="14.65" customHeight="1">
      <c r="Q36" s="310"/>
      <c r="R36" s="310"/>
      <c r="S36" s="3067" t="s">
        <v>335</v>
      </c>
      <c r="T36" s="3067"/>
      <c r="U36" s="3067"/>
      <c r="V36" s="3067"/>
      <c r="W36" s="3067"/>
      <c r="X36" s="3067"/>
      <c r="Y36" s="3067"/>
      <c r="Z36" s="3067"/>
      <c r="AA36" s="3067"/>
      <c r="AB36" s="3067"/>
      <c r="AC36" s="3067"/>
      <c r="AD36" s="3067"/>
      <c r="AE36" s="3067"/>
      <c r="AF36" s="3067"/>
      <c r="AG36" s="3067"/>
      <c r="AH36" s="3067"/>
      <c r="AI36" s="3067"/>
      <c r="AJ36" s="3067"/>
      <c r="AK36" s="3067" t="s">
        <v>336</v>
      </c>
      <c r="AQ36" s="1072">
        <v>14</v>
      </c>
    </row>
    <row r="37" spans="1:43" ht="14.65" customHeight="1">
      <c r="Q37" s="310"/>
      <c r="R37" s="310"/>
      <c r="S37" s="3207" t="s">
        <v>89</v>
      </c>
      <c r="T37" s="3159" t="s">
        <v>460</v>
      </c>
      <c r="U37" s="236"/>
      <c r="V37" s="3208" t="s">
        <v>461</v>
      </c>
      <c r="W37" s="3209"/>
      <c r="X37" s="3209"/>
      <c r="Y37" s="3209"/>
      <c r="Z37" s="3209"/>
      <c r="AA37" s="3210"/>
      <c r="AB37" s="3211" t="s">
        <v>462</v>
      </c>
      <c r="AC37" s="3208" t="s">
        <v>461</v>
      </c>
      <c r="AD37" s="3209"/>
      <c r="AE37" s="3209"/>
      <c r="AF37" s="3209"/>
      <c r="AG37" s="3209"/>
      <c r="AH37" s="3210"/>
      <c r="AI37" s="3211" t="s">
        <v>463</v>
      </c>
      <c r="AJ37" s="3214" t="s">
        <v>464</v>
      </c>
      <c r="AK37" s="3067"/>
      <c r="AQ37" s="1072">
        <v>14</v>
      </c>
    </row>
    <row r="38" spans="1:43" ht="35.65" customHeight="1">
      <c r="Q38" s="310"/>
      <c r="R38" s="310"/>
      <c r="S38" s="3207"/>
      <c r="T38" s="3159"/>
      <c r="U38" s="952"/>
      <c r="V38" s="1400" t="s">
        <v>522</v>
      </c>
      <c r="W38" s="3038" t="s">
        <v>467</v>
      </c>
      <c r="X38" s="3037"/>
      <c r="Y38" s="3038" t="s">
        <v>468</v>
      </c>
      <c r="Z38" s="3044"/>
      <c r="AA38" s="3037"/>
      <c r="AB38" s="3212"/>
      <c r="AC38" s="1400" t="s">
        <v>522</v>
      </c>
      <c r="AD38" s="3038" t="s">
        <v>467</v>
      </c>
      <c r="AE38" s="3037"/>
      <c r="AF38" s="3038" t="s">
        <v>468</v>
      </c>
      <c r="AG38" s="3044"/>
      <c r="AH38" s="3037"/>
      <c r="AI38" s="3212"/>
      <c r="AJ38" s="3215"/>
      <c r="AK38" s="3067"/>
      <c r="AQ38" s="1072">
        <v>34</v>
      </c>
    </row>
    <row r="39" spans="1:43" ht="90.25" customHeight="1">
      <c r="A39" s="1287"/>
      <c r="B39" s="1287" t="s">
        <v>149</v>
      </c>
      <c r="C39" s="1287" t="s">
        <v>150</v>
      </c>
      <c r="D39" s="1287" t="s">
        <v>151</v>
      </c>
      <c r="E39" s="1281" t="s">
        <v>469</v>
      </c>
      <c r="F39" s="1281" t="s">
        <v>470</v>
      </c>
      <c r="G39" s="1281" t="s">
        <v>471</v>
      </c>
      <c r="H39" s="1281"/>
      <c r="I39" s="1281" t="s">
        <v>523</v>
      </c>
      <c r="J39" s="1281" t="s">
        <v>474</v>
      </c>
      <c r="K39" s="1281" t="s">
        <v>524</v>
      </c>
      <c r="L39" s="1281" t="s">
        <v>450</v>
      </c>
      <c r="Q39" s="310"/>
      <c r="R39" s="310"/>
      <c r="S39" s="3207"/>
      <c r="T39" s="3159"/>
      <c r="U39" s="237"/>
      <c r="V39" s="1400" t="s">
        <v>551</v>
      </c>
      <c r="W39" s="1139" t="s">
        <v>552</v>
      </c>
      <c r="X39" s="1139" t="s">
        <v>527</v>
      </c>
      <c r="Y39" s="1406" t="s">
        <v>478</v>
      </c>
      <c r="Z39" s="3167" t="s">
        <v>479</v>
      </c>
      <c r="AA39" s="3169"/>
      <c r="AB39" s="3213"/>
      <c r="AC39" s="1400" t="s">
        <v>551</v>
      </c>
      <c r="AD39" s="1139" t="s">
        <v>552</v>
      </c>
      <c r="AE39" s="1139" t="s">
        <v>527</v>
      </c>
      <c r="AF39" s="1406" t="s">
        <v>478</v>
      </c>
      <c r="AG39" s="3167" t="s">
        <v>479</v>
      </c>
      <c r="AH39" s="3169"/>
      <c r="AI39" s="3213"/>
      <c r="AJ39" s="3216"/>
      <c r="AK39" s="3067"/>
      <c r="AQ39" s="1072">
        <v>86</v>
      </c>
    </row>
    <row r="40" spans="1:43" s="2212" customFormat="1" ht="11.25" hidden="1" customHeight="1">
      <c r="A40" s="1287"/>
      <c r="B40" s="1287"/>
      <c r="C40" s="1287"/>
      <c r="D40" s="1287"/>
      <c r="E40" s="1287"/>
      <c r="F40" s="1287"/>
      <c r="G40" s="1287"/>
      <c r="H40" s="1287"/>
      <c r="I40" s="1287"/>
      <c r="J40" s="1287"/>
      <c r="K40" s="1287"/>
      <c r="L40" s="1281"/>
      <c r="M40" s="1279"/>
      <c r="N40" s="1279"/>
      <c r="O40" s="1279"/>
      <c r="P40" s="1163"/>
      <c r="Q40" s="1164"/>
      <c r="R40" s="1171">
        <v>1</v>
      </c>
      <c r="S40" s="1194" t="s">
        <v>124</v>
      </c>
      <c r="T40" s="1172" t="s">
        <v>104</v>
      </c>
      <c r="U40" s="1162" t="str">
        <f ca="1">OFFSET(U40,0,-1)</f>
        <v>2</v>
      </c>
      <c r="V40" s="1399">
        <f ca="1">OFFSET(V40,0,-1)+1</f>
        <v>3</v>
      </c>
      <c r="W40" s="1399">
        <f ca="1">OFFSET(W40,0,-1)+1</f>
        <v>4</v>
      </c>
      <c r="X40" s="1399">
        <f ca="1">OFFSET(X40,0,-1)+1</f>
        <v>5</v>
      </c>
      <c r="Y40" s="1399">
        <f ca="1">OFFSET(Y40,0,-1)+1</f>
        <v>6</v>
      </c>
      <c r="Z40" s="3206">
        <f ca="1">OFFSET(Z40,0,-1)+1</f>
        <v>7</v>
      </c>
      <c r="AA40" s="3206"/>
      <c r="AB40" s="1399">
        <f ca="1">OFFSET(AB40,0,-2)+1</f>
        <v>8</v>
      </c>
      <c r="AC40" s="1399">
        <f ca="1">OFFSET(AC40,0,-1)+1</f>
        <v>9</v>
      </c>
      <c r="AD40" s="1399">
        <f ca="1">OFFSET(AD40,0,-1)+1</f>
        <v>10</v>
      </c>
      <c r="AE40" s="1399">
        <f ca="1">OFFSET(AE40,0,-1)+1</f>
        <v>11</v>
      </c>
      <c r="AF40" s="1399">
        <f ca="1">OFFSET(AF40,0,-1)+1</f>
        <v>12</v>
      </c>
      <c r="AG40" s="3206">
        <f ca="1">OFFSET(AG40,0,-1)+1</f>
        <v>13</v>
      </c>
      <c r="AH40" s="3206"/>
      <c r="AI40" s="1399">
        <f ca="1">OFFSET(AI40,0,-2)+1</f>
        <v>14</v>
      </c>
      <c r="AJ40" s="1162">
        <f ca="1">OFFSET(AJ40,0,-1)</f>
        <v>14</v>
      </c>
      <c r="AK40" s="1399">
        <f ca="1">OFFSET(AK40,0,-1)+1</f>
        <v>15</v>
      </c>
      <c r="AL40" s="445"/>
      <c r="AM40" s="445"/>
      <c r="AN40" s="445"/>
      <c r="AO40" s="445"/>
      <c r="AP40" s="445"/>
      <c r="AQ40" s="430">
        <v>0</v>
      </c>
    </row>
    <row r="41" spans="1:43" ht="24" customHeight="1">
      <c r="A41" s="1280" t="s">
        <v>301</v>
      </c>
      <c r="B41" s="1280"/>
      <c r="C41" s="1280"/>
      <c r="D41" s="1280"/>
      <c r="E41" s="3199">
        <v>1</v>
      </c>
      <c r="F41" s="1280"/>
      <c r="G41" s="1280"/>
      <c r="H41" s="1280"/>
      <c r="I41" s="1280"/>
      <c r="J41" s="1280"/>
      <c r="K41" s="1280"/>
      <c r="L41" s="1281"/>
      <c r="M41" s="1282"/>
      <c r="N41" s="1282"/>
      <c r="O41" s="1282"/>
      <c r="P41" s="295"/>
      <c r="Q41" s="294"/>
      <c r="R41" s="289"/>
      <c r="S41" s="1410">
        <f>INDEX(PT_DIFFERENTIATION_NUM_NTAR,MATCH(A41,PT_DIFFERENTIATION_NTAR_ID,0))</f>
        <v>0</v>
      </c>
      <c r="T41" s="233" t="s">
        <v>137</v>
      </c>
      <c r="U41" s="235"/>
      <c r="V41" s="3185"/>
      <c r="W41" s="3186"/>
      <c r="X41" s="3186"/>
      <c r="Y41" s="3186"/>
      <c r="Z41" s="3186"/>
      <c r="AA41" s="3186"/>
      <c r="AB41" s="3187"/>
      <c r="AC41" s="3185" t="str">
        <f>INDEX(PT_DIFFERENTIATION_NTAR,MATCH(A41,PT_DIFFERENTIATION_NTAR_ID,0))</f>
        <v/>
      </c>
      <c r="AD41" s="3186"/>
      <c r="AE41" s="3186"/>
      <c r="AF41" s="3186"/>
      <c r="AG41" s="3186"/>
      <c r="AH41" s="3186"/>
      <c r="AI41" s="3186"/>
      <c r="AJ41" s="3187"/>
      <c r="AK41"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4"/>
      <c r="AN41" s="434" t="str">
        <f t="shared" ref="AN41:AN53" si="1">IF(T41="","",T41)</f>
        <v>Наименование тарифа</v>
      </c>
      <c r="AO41" s="434"/>
      <c r="AP41" s="434"/>
      <c r="AQ41" s="1072">
        <v>23</v>
      </c>
    </row>
    <row r="42" spans="1:43" ht="24" customHeight="1">
      <c r="A42" s="1280" t="s">
        <v>301</v>
      </c>
      <c r="B42" s="1280" t="s">
        <v>302</v>
      </c>
      <c r="C42" s="1280"/>
      <c r="D42" s="1280"/>
      <c r="E42" s="3200"/>
      <c r="F42" s="3199">
        <v>1</v>
      </c>
      <c r="G42" s="1280"/>
      <c r="H42" s="1280"/>
      <c r="I42" s="1280"/>
      <c r="J42" s="1280"/>
      <c r="K42" s="1280"/>
      <c r="L42" s="1281"/>
      <c r="M42" s="1282"/>
      <c r="N42" s="1282"/>
      <c r="O42" s="1282"/>
      <c r="P42" s="1404"/>
      <c r="Q42" s="286"/>
      <c r="R42" s="287"/>
      <c r="S42" s="1410" t="str">
        <f>INDEX(PT_DIFFERENTIATION_NUM_TER,MATCH(B42,PT_DIFFERENTIATION_TER_ID,0))</f>
        <v>.</v>
      </c>
      <c r="T42" s="243" t="s">
        <v>432</v>
      </c>
      <c r="U42" s="235"/>
      <c r="V42" s="3185"/>
      <c r="W42" s="3186"/>
      <c r="X42" s="3186"/>
      <c r="Y42" s="3186"/>
      <c r="Z42" s="3186"/>
      <c r="AA42" s="3186"/>
      <c r="AB42" s="3187"/>
      <c r="AC42" s="3185" t="str">
        <f>INDEX(PT_DIFFERENTIATION_TER,MATCH(B42,PT_DIFFERENTIATION_TER_ID,0))</f>
        <v/>
      </c>
      <c r="AD42" s="3186"/>
      <c r="AE42" s="3186"/>
      <c r="AF42" s="3186"/>
      <c r="AG42" s="3186"/>
      <c r="AH42" s="3186"/>
      <c r="AI42" s="3186"/>
      <c r="AJ42" s="3187"/>
      <c r="AK42" s="1175" t="s">
        <v>433</v>
      </c>
      <c r="AM42" s="434"/>
      <c r="AN42" s="434" t="str">
        <f t="shared" si="1"/>
        <v>Территория действия тарифа</v>
      </c>
      <c r="AO42" s="434"/>
      <c r="AP42" s="434"/>
      <c r="AQ42" s="1072">
        <v>23</v>
      </c>
    </row>
    <row r="43" spans="1:43" ht="24" customHeight="1">
      <c r="A43" s="1280" t="s">
        <v>301</v>
      </c>
      <c r="B43" s="1280" t="s">
        <v>302</v>
      </c>
      <c r="C43" s="1280" t="s">
        <v>303</v>
      </c>
      <c r="D43" s="1280"/>
      <c r="E43" s="3200"/>
      <c r="F43" s="3200"/>
      <c r="G43" s="3199">
        <v>1</v>
      </c>
      <c r="H43" s="1280"/>
      <c r="I43" s="1280"/>
      <c r="J43" s="1280"/>
      <c r="K43" s="1280"/>
      <c r="L43" s="1281"/>
      <c r="M43" s="1282"/>
      <c r="N43" s="1282"/>
      <c r="O43" s="1282"/>
      <c r="P43" s="288"/>
      <c r="Q43" s="286"/>
      <c r="R43" s="287"/>
      <c r="S43" s="1410" t="str">
        <f>INDEX(PT_DIFFERENTIATION_NUM_CS,MATCH(C43,PT_DIFFERENTIATION_CS_ID,0))</f>
        <v>..</v>
      </c>
      <c r="T43" s="244" t="s">
        <v>549</v>
      </c>
      <c r="U43" s="235"/>
      <c r="V43" s="3185"/>
      <c r="W43" s="3186"/>
      <c r="X43" s="3186"/>
      <c r="Y43" s="3186"/>
      <c r="Z43" s="3186"/>
      <c r="AA43" s="3186"/>
      <c r="AB43" s="3187"/>
      <c r="AC43" s="3185" t="str">
        <f>INDEX(PT_DIFFERENTIATION_CS,MATCH(C43,PT_DIFFERENTIATION_CS_ID,0))</f>
        <v/>
      </c>
      <c r="AD43" s="3186"/>
      <c r="AE43" s="3186"/>
      <c r="AF43" s="3186"/>
      <c r="AG43" s="3186"/>
      <c r="AH43" s="3186"/>
      <c r="AI43" s="3186"/>
      <c r="AJ43" s="3187"/>
      <c r="AK43" s="1175" t="s">
        <v>550</v>
      </c>
      <c r="AM43" s="434"/>
      <c r="AN43" s="434" t="str">
        <f t="shared" si="1"/>
        <v>Наименование централизованной системы водоотведения</v>
      </c>
      <c r="AO43" s="434"/>
      <c r="AP43" s="434"/>
      <c r="AQ43" s="1072">
        <v>23</v>
      </c>
    </row>
    <row r="44" spans="1:43" ht="24" customHeight="1">
      <c r="A44" s="1280" t="s">
        <v>301</v>
      </c>
      <c r="B44" s="1280" t="s">
        <v>302</v>
      </c>
      <c r="C44" s="1280" t="s">
        <v>303</v>
      </c>
      <c r="D44" s="1280" t="s">
        <v>553</v>
      </c>
      <c r="E44" s="3200"/>
      <c r="F44" s="3200"/>
      <c r="G44" s="3200"/>
      <c r="H44" s="3200"/>
      <c r="I44" s="3197" t="str">
        <f>S43&amp;".1"</f>
        <v>...1</v>
      </c>
      <c r="J44" s="1280"/>
      <c r="K44" s="1280"/>
      <c r="L44" s="1281"/>
      <c r="P44" s="3198">
        <v>1</v>
      </c>
      <c r="Q44" s="1398"/>
      <c r="R44" s="290"/>
      <c r="S44" s="1410" t="str">
        <f>$I44</f>
        <v>...1</v>
      </c>
      <c r="T44" s="220" t="s">
        <v>516</v>
      </c>
      <c r="U44" s="235"/>
      <c r="V44" s="3266"/>
      <c r="W44" s="3267"/>
      <c r="X44" s="3267"/>
      <c r="Y44" s="3267"/>
      <c r="Z44" s="3267"/>
      <c r="AA44" s="3267"/>
      <c r="AB44" s="3268"/>
      <c r="AC44" s="3269"/>
      <c r="AD44" s="3270"/>
      <c r="AE44" s="3270"/>
      <c r="AF44" s="3270"/>
      <c r="AG44" s="3270"/>
      <c r="AH44" s="3270"/>
      <c r="AI44" s="3270"/>
      <c r="AJ44" s="3271"/>
      <c r="AK44" s="1175" t="s">
        <v>517</v>
      </c>
      <c r="AM44" s="434"/>
      <c r="AN44" s="434" t="str">
        <f t="shared" si="1"/>
        <v>Наименование признака дифференциации</v>
      </c>
      <c r="AO44" s="434"/>
      <c r="AP44" s="434"/>
      <c r="AQ44" s="1072">
        <v>23</v>
      </c>
    </row>
    <row r="45" spans="1:43" ht="24" customHeight="1">
      <c r="A45" s="1280" t="s">
        <v>301</v>
      </c>
      <c r="B45" s="1280" t="s">
        <v>302</v>
      </c>
      <c r="C45" s="1280" t="s">
        <v>303</v>
      </c>
      <c r="D45" s="1280" t="s">
        <v>553</v>
      </c>
      <c r="E45" s="3200"/>
      <c r="F45" s="3200"/>
      <c r="G45" s="3200"/>
      <c r="H45" s="3200"/>
      <c r="I45" s="3220"/>
      <c r="J45" s="3197" t="str">
        <f>I44&amp;".1"</f>
        <v>...1.1</v>
      </c>
      <c r="K45" s="1280"/>
      <c r="L45" s="1281" t="s">
        <v>441</v>
      </c>
      <c r="P45" s="3198"/>
      <c r="Q45" s="3198">
        <v>1</v>
      </c>
      <c r="R45" s="291"/>
      <c r="S45" s="1410" t="str">
        <f>$J45</f>
        <v>...1.1</v>
      </c>
      <c r="T45" s="221" t="s">
        <v>442</v>
      </c>
      <c r="U45" s="235"/>
      <c r="V45" s="3188"/>
      <c r="W45" s="3189"/>
      <c r="X45" s="3189"/>
      <c r="Y45" s="3189"/>
      <c r="Z45" s="3189"/>
      <c r="AA45" s="3189"/>
      <c r="AB45" s="3190"/>
      <c r="AC45" s="3188"/>
      <c r="AD45" s="3189"/>
      <c r="AE45" s="3189"/>
      <c r="AF45" s="3189"/>
      <c r="AG45" s="3189"/>
      <c r="AH45" s="3189"/>
      <c r="AI45" s="3189"/>
      <c r="AJ45" s="3190"/>
      <c r="AK45" s="1224" t="s">
        <v>518</v>
      </c>
      <c r="AM45" s="434"/>
      <c r="AN45" s="434" t="str">
        <f t="shared" si="1"/>
        <v>Группа потребителей</v>
      </c>
      <c r="AO45" s="434"/>
      <c r="AP45" s="434"/>
      <c r="AQ45" s="1072">
        <v>23</v>
      </c>
    </row>
    <row r="46" spans="1:43" ht="24" customHeight="1">
      <c r="A46" s="1280" t="s">
        <v>301</v>
      </c>
      <c r="B46" s="1280" t="s">
        <v>302</v>
      </c>
      <c r="C46" s="1280" t="s">
        <v>303</v>
      </c>
      <c r="D46" s="1280" t="s">
        <v>553</v>
      </c>
      <c r="E46" s="3200"/>
      <c r="F46" s="3200"/>
      <c r="G46" s="3200"/>
      <c r="H46" s="3200"/>
      <c r="I46" s="3220"/>
      <c r="J46" s="3220"/>
      <c r="K46" s="3197" t="str">
        <f>J45&amp;".1"</f>
        <v>...1.1.1</v>
      </c>
      <c r="L46" s="1281"/>
      <c r="P46" s="3198"/>
      <c r="Q46" s="3198"/>
      <c r="R46" s="291">
        <v>1</v>
      </c>
      <c r="S46" s="1410" t="str">
        <f>$K46</f>
        <v>...1.1.1</v>
      </c>
      <c r="T46" s="1354"/>
      <c r="U46" s="235"/>
      <c r="V46" s="1277"/>
      <c r="W46" s="1277"/>
      <c r="X46" s="1278"/>
      <c r="Y46" s="3204"/>
      <c r="Z46" s="3205" t="s">
        <v>67</v>
      </c>
      <c r="AA46" s="3204"/>
      <c r="AB46" s="3205" t="s">
        <v>67</v>
      </c>
      <c r="AC46" s="685"/>
      <c r="AD46" s="685"/>
      <c r="AE46" s="1174"/>
      <c r="AF46" s="3202"/>
      <c r="AG46" s="3048" t="s">
        <v>67</v>
      </c>
      <c r="AH46" s="3221"/>
      <c r="AI46" s="3048" t="s">
        <v>19</v>
      </c>
      <c r="AJ46" s="1355"/>
      <c r="AK46" s="3265"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5" t="e">
        <f ca="1">STRCHECKDATE(V47:AJ47)</f>
        <v>#NAME?</v>
      </c>
      <c r="AM46" s="434"/>
      <c r="AN46" s="434" t="str">
        <f t="shared" si="1"/>
        <v/>
      </c>
      <c r="AO46" s="434"/>
      <c r="AP46" s="434"/>
      <c r="AQ46" s="1072">
        <v>23</v>
      </c>
    </row>
    <row r="47" spans="1:43" ht="0" hidden="1" customHeight="1">
      <c r="A47" s="1280" t="s">
        <v>301</v>
      </c>
      <c r="B47" s="1280" t="s">
        <v>302</v>
      </c>
      <c r="C47" s="1280" t="s">
        <v>303</v>
      </c>
      <c r="D47" s="1280" t="s">
        <v>553</v>
      </c>
      <c r="E47" s="3200"/>
      <c r="F47" s="3200"/>
      <c r="G47" s="3200"/>
      <c r="H47" s="3200"/>
      <c r="I47" s="3220"/>
      <c r="J47" s="3220"/>
      <c r="K47" s="3197"/>
      <c r="L47" s="1281"/>
      <c r="P47" s="3198"/>
      <c r="Q47" s="3198"/>
      <c r="R47" s="291"/>
      <c r="S47" s="1407"/>
      <c r="T47" s="235"/>
      <c r="U47" s="235"/>
      <c r="V47" s="1277"/>
      <c r="W47" s="1277"/>
      <c r="X47" s="263" t="str">
        <f>Y46&amp;"-"&amp;AA46</f>
        <v>-</v>
      </c>
      <c r="Y47" s="3205"/>
      <c r="Z47" s="3205"/>
      <c r="AA47" s="3205"/>
      <c r="AB47" s="3205"/>
      <c r="AC47" s="260"/>
      <c r="AD47" s="260"/>
      <c r="AE47" s="263" t="str">
        <f>AF46&amp;"-"&amp;AH46</f>
        <v>-</v>
      </c>
      <c r="AF47" s="3203"/>
      <c r="AG47" s="3048"/>
      <c r="AH47" s="3222"/>
      <c r="AI47" s="3048"/>
      <c r="AJ47" s="1356"/>
      <c r="AK47" s="3265"/>
      <c r="AM47" s="434"/>
      <c r="AN47" s="434" t="str">
        <f t="shared" si="1"/>
        <v/>
      </c>
      <c r="AO47" s="434"/>
      <c r="AP47" s="434"/>
      <c r="AQ47" s="1072">
        <v>0</v>
      </c>
    </row>
    <row r="48" spans="1:43" ht="21" customHeight="1">
      <c r="A48" s="1280" t="s">
        <v>301</v>
      </c>
      <c r="B48" s="1280" t="s">
        <v>302</v>
      </c>
      <c r="C48" s="1280" t="s">
        <v>303</v>
      </c>
      <c r="D48" s="1280" t="s">
        <v>553</v>
      </c>
      <c r="E48" s="3200"/>
      <c r="F48" s="3200"/>
      <c r="G48" s="3200"/>
      <c r="H48" s="3200"/>
      <c r="I48" s="3220"/>
      <c r="J48" s="3197"/>
      <c r="K48" s="1280"/>
      <c r="L48" s="1281"/>
      <c r="P48" s="3198"/>
      <c r="Q48" s="3198"/>
      <c r="R48" s="290"/>
      <c r="S48" s="1195"/>
      <c r="T48" s="222" t="s">
        <v>519</v>
      </c>
      <c r="U48" s="301"/>
      <c r="V48" s="301"/>
      <c r="W48" s="301"/>
      <c r="X48" s="301"/>
      <c r="Y48" s="301"/>
      <c r="Z48" s="301"/>
      <c r="AA48" s="301"/>
      <c r="AB48" s="301"/>
      <c r="AC48" s="301"/>
      <c r="AD48" s="301"/>
      <c r="AE48" s="301"/>
      <c r="AF48" s="301"/>
      <c r="AG48" s="301"/>
      <c r="AH48" s="301"/>
      <c r="AI48" s="301"/>
      <c r="AJ48" s="301"/>
      <c r="AK48" s="1175" t="s">
        <v>520</v>
      </c>
      <c r="AM48" s="434"/>
      <c r="AN48" s="434" t="str">
        <f t="shared" si="1"/>
        <v>Добавить значение признака дифференциации</v>
      </c>
      <c r="AO48" s="434"/>
      <c r="AP48" s="434"/>
      <c r="AQ48" s="1072">
        <v>20</v>
      </c>
    </row>
    <row r="49" spans="1:43" ht="22" customHeight="1">
      <c r="A49" s="1280" t="s">
        <v>301</v>
      </c>
      <c r="B49" s="1280" t="s">
        <v>302</v>
      </c>
      <c r="C49" s="1280" t="s">
        <v>303</v>
      </c>
      <c r="D49" s="1280" t="s">
        <v>553</v>
      </c>
      <c r="E49" s="3200"/>
      <c r="F49" s="3200"/>
      <c r="G49" s="3200"/>
      <c r="H49" s="3200"/>
      <c r="I49" s="3197"/>
      <c r="J49" s="1280"/>
      <c r="K49" s="1280"/>
      <c r="L49" s="1281"/>
      <c r="P49" s="3198"/>
      <c r="Q49" s="1398"/>
      <c r="R49" s="290"/>
      <c r="S49" s="1195"/>
      <c r="T49" s="299" t="s">
        <v>447</v>
      </c>
      <c r="U49" s="301"/>
      <c r="V49" s="301"/>
      <c r="W49" s="301"/>
      <c r="X49" s="301"/>
      <c r="Y49" s="301"/>
      <c r="Z49" s="301"/>
      <c r="AA49" s="301"/>
      <c r="AB49" s="300"/>
      <c r="AC49" s="301"/>
      <c r="AD49" s="301"/>
      <c r="AE49" s="301"/>
      <c r="AF49" s="301"/>
      <c r="AG49" s="301"/>
      <c r="AH49" s="301"/>
      <c r="AI49" s="300"/>
      <c r="AJ49" s="301"/>
      <c r="AK49" s="1357"/>
      <c r="AM49" s="434"/>
      <c r="AN49" s="434" t="str">
        <f t="shared" si="1"/>
        <v>Добавить группу потребителей</v>
      </c>
      <c r="AO49" s="434"/>
      <c r="AP49" s="434"/>
      <c r="AQ49" s="1072">
        <v>21</v>
      </c>
    </row>
    <row r="50" spans="1:43" ht="22" customHeight="1">
      <c r="A50" s="1280" t="s">
        <v>301</v>
      </c>
      <c r="B50" s="1280" t="s">
        <v>302</v>
      </c>
      <c r="C50" s="1280" t="s">
        <v>303</v>
      </c>
      <c r="D50" s="1280" t="s">
        <v>553</v>
      </c>
      <c r="E50" s="3200"/>
      <c r="F50" s="3200"/>
      <c r="G50" s="3200"/>
      <c r="H50" s="3199"/>
      <c r="I50" s="1280"/>
      <c r="J50" s="1280"/>
      <c r="K50" s="1280"/>
      <c r="L50" s="1281"/>
      <c r="M50" s="1282"/>
      <c r="N50" s="1282"/>
      <c r="O50" s="471"/>
      <c r="P50" s="294"/>
      <c r="Q50" s="309"/>
      <c r="R50" s="289"/>
      <c r="S50" s="1195"/>
      <c r="T50" s="306" t="s">
        <v>521</v>
      </c>
      <c r="U50" s="301"/>
      <c r="V50" s="301"/>
      <c r="W50" s="301"/>
      <c r="X50" s="301"/>
      <c r="Y50" s="301"/>
      <c r="Z50" s="301"/>
      <c r="AA50" s="301"/>
      <c r="AB50" s="300"/>
      <c r="AC50" s="301"/>
      <c r="AD50" s="301"/>
      <c r="AE50" s="301"/>
      <c r="AF50" s="301"/>
      <c r="AG50" s="301"/>
      <c r="AH50" s="301"/>
      <c r="AI50" s="300"/>
      <c r="AJ50" s="301"/>
      <c r="AK50" s="238"/>
      <c r="AM50" s="434"/>
      <c r="AN50" s="434" t="str">
        <f t="shared" si="1"/>
        <v>Добавить наименование признака дифференциации</v>
      </c>
      <c r="AO50" s="434"/>
      <c r="AP50" s="434"/>
      <c r="AQ50" s="1072">
        <v>21</v>
      </c>
    </row>
    <row r="51" spans="1:43" s="2017" customFormat="1" ht="0" hidden="1" customHeight="1">
      <c r="A51" s="1260" t="s">
        <v>301</v>
      </c>
      <c r="B51" s="1260" t="s">
        <v>302</v>
      </c>
      <c r="C51" s="1231"/>
      <c r="D51" s="1231"/>
      <c r="E51" s="3200"/>
      <c r="F51" s="3199"/>
      <c r="G51" s="1231"/>
      <c r="H51" s="1231"/>
      <c r="I51" s="1231"/>
      <c r="J51" s="1231"/>
      <c r="K51" s="1231"/>
      <c r="L51" s="1411"/>
      <c r="M51" s="1238"/>
      <c r="N51" s="1238"/>
      <c r="P51" s="1233"/>
      <c r="Q51" s="1234"/>
      <c r="R51" s="1233"/>
      <c r="S51" s="1239"/>
      <c r="T51" s="1242" t="s">
        <v>181</v>
      </c>
      <c r="U51" s="1241"/>
      <c r="V51" s="1241"/>
      <c r="W51" s="1241"/>
      <c r="X51" s="1241"/>
      <c r="Y51" s="1241"/>
      <c r="Z51" s="1241"/>
      <c r="AA51" s="1241"/>
      <c r="AB51" s="1241"/>
      <c r="AC51" s="1241"/>
      <c r="AD51" s="1241"/>
      <c r="AE51" s="1241"/>
      <c r="AF51" s="1241"/>
      <c r="AG51" s="1241"/>
      <c r="AH51" s="1241"/>
      <c r="AI51" s="1241"/>
      <c r="AJ51" s="1241"/>
      <c r="AK51" s="1241"/>
      <c r="AM51" s="717"/>
      <c r="AN51" s="717" t="str">
        <f t="shared" si="1"/>
        <v>Добавить централизованную систему для дифференциации</v>
      </c>
      <c r="AO51" s="717"/>
      <c r="AP51" s="717"/>
      <c r="AQ51" s="452">
        <v>0</v>
      </c>
    </row>
    <row r="52" spans="1:43" s="2017" customFormat="1" ht="0" hidden="1" customHeight="1">
      <c r="A52" s="1260" t="s">
        <v>301</v>
      </c>
      <c r="B52" s="1260"/>
      <c r="C52" s="1260"/>
      <c r="D52" s="1260"/>
      <c r="E52" s="3199"/>
      <c r="F52" s="1260"/>
      <c r="G52" s="1260"/>
      <c r="H52" s="1260"/>
      <c r="I52" s="1260"/>
      <c r="J52" s="1260"/>
      <c r="K52" s="1260"/>
      <c r="L52" s="1263"/>
      <c r="M52" s="1238"/>
      <c r="N52" s="1238"/>
      <c r="O52" s="452"/>
      <c r="P52" s="314"/>
      <c r="Q52" s="1261"/>
      <c r="R52" s="314"/>
      <c r="S52" s="1239"/>
      <c r="T52" s="1242" t="s">
        <v>188</v>
      </c>
      <c r="U52" s="1241"/>
      <c r="V52" s="1241"/>
      <c r="W52" s="1241"/>
      <c r="X52" s="1241"/>
      <c r="Y52" s="1241"/>
      <c r="Z52" s="1241"/>
      <c r="AA52" s="1241"/>
      <c r="AB52" s="1241"/>
      <c r="AC52" s="1241"/>
      <c r="AD52" s="1241"/>
      <c r="AE52" s="1241"/>
      <c r="AF52" s="1241"/>
      <c r="AG52" s="1241"/>
      <c r="AH52" s="1241"/>
      <c r="AI52" s="1241"/>
      <c r="AJ52" s="1241"/>
      <c r="AK52" s="1241"/>
      <c r="AM52" s="434"/>
      <c r="AN52" s="434" t="str">
        <f t="shared" si="1"/>
        <v>Добавить территорию для дифференциации</v>
      </c>
      <c r="AO52" s="434"/>
      <c r="AP52" s="434"/>
      <c r="AQ52" s="445">
        <v>0</v>
      </c>
    </row>
    <row r="53" spans="1:43" s="2017" customFormat="1" ht="0" hidden="1" customHeight="1">
      <c r="A53" s="1231"/>
      <c r="B53" s="1231"/>
      <c r="C53" s="1231"/>
      <c r="D53" s="1231"/>
      <c r="E53" s="1260"/>
      <c r="F53" s="1231"/>
      <c r="G53" s="1231"/>
      <c r="H53" s="1231"/>
      <c r="I53" s="1231"/>
      <c r="J53" s="1231"/>
      <c r="K53" s="1231"/>
      <c r="L53" s="1411"/>
      <c r="M53" s="1238"/>
      <c r="N53" s="1238"/>
      <c r="P53" s="1233"/>
      <c r="Q53" s="1234"/>
      <c r="R53" s="1233"/>
      <c r="S53" s="1239"/>
      <c r="T53" s="1242" t="s">
        <v>189</v>
      </c>
      <c r="U53" s="1241"/>
      <c r="V53" s="1241"/>
      <c r="W53" s="1241"/>
      <c r="X53" s="1241"/>
      <c r="Y53" s="1241"/>
      <c r="Z53" s="1241"/>
      <c r="AA53" s="1241"/>
      <c r="AB53" s="1241"/>
      <c r="AC53" s="1241"/>
      <c r="AD53" s="1241"/>
      <c r="AE53" s="1241"/>
      <c r="AF53" s="1241"/>
      <c r="AG53" s="1241"/>
      <c r="AH53" s="1241"/>
      <c r="AI53" s="1241"/>
      <c r="AJ53" s="1241"/>
      <c r="AK53" s="1241"/>
      <c r="AM53" s="717"/>
      <c r="AN53" s="717" t="str">
        <f t="shared" si="1"/>
        <v>Добавить наименование тарифа</v>
      </c>
      <c r="AO53" s="717"/>
      <c r="AP53" s="717"/>
      <c r="AQ53" s="452">
        <v>0</v>
      </c>
    </row>
    <row r="54" spans="1:43" ht="11.5" customHeight="1">
      <c r="M54" s="1077"/>
      <c r="N54" s="1077"/>
      <c r="O54" s="471"/>
      <c r="P54" s="1072"/>
      <c r="Q54" s="1072"/>
      <c r="R54" s="1072"/>
      <c r="S54" s="1072"/>
      <c r="AL54" s="1072"/>
      <c r="AM54" s="1072"/>
      <c r="AN54" s="1072"/>
      <c r="AO54" s="1072"/>
      <c r="AP54" s="1072"/>
      <c r="AQ54" s="1072">
        <v>11</v>
      </c>
    </row>
    <row r="55" spans="1:43" ht="14.65" customHeight="1">
      <c r="O55" s="471"/>
      <c r="S55" s="1170"/>
      <c r="T55" s="3219"/>
      <c r="U55" s="3219"/>
      <c r="V55" s="3219"/>
      <c r="W55" s="3219"/>
      <c r="X55" s="3219"/>
      <c r="Y55" s="3219"/>
      <c r="Z55" s="3219"/>
      <c r="AA55" s="3219"/>
      <c r="AB55" s="3219"/>
      <c r="AC55" s="3219"/>
      <c r="AD55" s="3219"/>
      <c r="AE55" s="3219"/>
      <c r="AF55" s="3219"/>
      <c r="AG55" s="3219"/>
      <c r="AH55" s="3219"/>
      <c r="AI55" s="3219"/>
      <c r="AJ55" s="3219"/>
      <c r="AK55" s="3219"/>
      <c r="AQ55" s="1072">
        <v>14</v>
      </c>
    </row>
    <row r="56" spans="1:43" ht="14.65" customHeight="1">
      <c r="O56" s="471"/>
      <c r="AQ56" s="1072">
        <v>14</v>
      </c>
    </row>
    <row r="57" spans="1:43" ht="14.65" customHeight="1">
      <c r="O57" s="471"/>
      <c r="S57" s="1170"/>
      <c r="T57" s="3219"/>
      <c r="U57" s="3219"/>
      <c r="V57" s="3219"/>
      <c r="W57" s="3219"/>
      <c r="X57" s="3219"/>
      <c r="Y57" s="3219"/>
      <c r="Z57" s="3219"/>
      <c r="AA57" s="3219"/>
      <c r="AB57" s="3219"/>
      <c r="AC57" s="3219"/>
      <c r="AD57" s="3219"/>
      <c r="AE57" s="3219"/>
      <c r="AF57" s="3219"/>
      <c r="AG57" s="3219"/>
      <c r="AH57" s="3219"/>
      <c r="AI57" s="3219"/>
      <c r="AJ57" s="3219"/>
      <c r="AK57" s="3219"/>
      <c r="AQ57" s="1072">
        <v>14</v>
      </c>
    </row>
    <row r="58" spans="1:43" ht="22.5" hidden="1" customHeight="1">
      <c r="A58" s="1077" t="s">
        <v>83</v>
      </c>
      <c r="B58" s="1077">
        <v>0</v>
      </c>
      <c r="C58" s="1077">
        <v>0</v>
      </c>
      <c r="D58" s="1077">
        <v>0</v>
      </c>
      <c r="E58" s="1077">
        <v>0</v>
      </c>
      <c r="F58" s="1077">
        <v>0</v>
      </c>
      <c r="G58" s="1077">
        <v>0</v>
      </c>
      <c r="H58" s="1077">
        <v>0</v>
      </c>
      <c r="I58" s="1077">
        <v>0</v>
      </c>
      <c r="J58" s="1077">
        <v>0</v>
      </c>
      <c r="K58" s="1077">
        <v>0</v>
      </c>
      <c r="L58" s="1395">
        <v>0</v>
      </c>
      <c r="M58" s="1279">
        <v>0</v>
      </c>
      <c r="N58" s="1279">
        <v>0</v>
      </c>
      <c r="O58" s="1279">
        <v>0</v>
      </c>
      <c r="P58" s="1390">
        <v>3</v>
      </c>
      <c r="Q58" s="279">
        <v>3</v>
      </c>
      <c r="R58" s="279">
        <v>3</v>
      </c>
      <c r="S58" s="515">
        <v>12</v>
      </c>
      <c r="T58" s="1072">
        <v>35</v>
      </c>
      <c r="U58" s="1072">
        <v>0</v>
      </c>
      <c r="V58" s="1072">
        <v>0</v>
      </c>
      <c r="W58" s="1072">
        <v>0</v>
      </c>
      <c r="X58" s="1072">
        <v>0</v>
      </c>
      <c r="Y58" s="1072">
        <v>0</v>
      </c>
      <c r="Z58" s="1072">
        <v>0</v>
      </c>
      <c r="AA58" s="1072">
        <v>0</v>
      </c>
      <c r="AB58" s="1072">
        <v>0</v>
      </c>
      <c r="AC58" s="1072">
        <v>24</v>
      </c>
      <c r="AD58" s="1072">
        <v>24</v>
      </c>
      <c r="AE58" s="1072">
        <v>24</v>
      </c>
      <c r="AF58" s="1072">
        <v>11</v>
      </c>
      <c r="AG58" s="1072">
        <v>3</v>
      </c>
      <c r="AH58" s="1072">
        <v>11</v>
      </c>
      <c r="AI58" s="1072">
        <v>0</v>
      </c>
      <c r="AJ58" s="1072">
        <v>4</v>
      </c>
      <c r="AK58" s="1072">
        <v>115</v>
      </c>
      <c r="AL58" s="445">
        <v>10</v>
      </c>
      <c r="AM58" s="445">
        <v>10</v>
      </c>
      <c r="AN58" s="445">
        <v>10</v>
      </c>
      <c r="AO58" s="445">
        <v>10</v>
      </c>
      <c r="AP58" s="445">
        <v>10</v>
      </c>
      <c r="AQ58" s="1072">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xr:uid="{00000000-0002-0000-1A00-000000000000}"/>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A00-000001000000}">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xr:uid="{00000000-0002-0000-1A00-000002000000}">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A00-000003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xr:uid="{00000000-0002-0000-1A00-000004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xr:uid="{00000000-0002-0000-1A00-000005000000}"/>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A00-000006000000}"/>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A00-000007000000}">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25A307-71F8-2B42-35F8-AA2CF802FAD9}">
  <sheetPr>
    <tabColor theme="6" tint="0.39997558519241921"/>
  </sheetPr>
  <dimension ref="A1:AQ58"/>
  <sheetViews>
    <sheetView showGridLines="0" topLeftCell="P23" zoomScale="90" workbookViewId="0"/>
  </sheetViews>
  <sheetFormatPr defaultColWidth="10.59765625" defaultRowHeight="14.25" customHeight="1"/>
  <cols>
    <col min="1" max="1" width="10.59765625" style="2016" hidden="1"/>
    <col min="2" max="2" width="11" style="2016" hidden="1" customWidth="1"/>
    <col min="3" max="3" width="10.59765625" style="2016" hidden="1"/>
    <col min="4" max="4" width="11.796875" style="2016" hidden="1" customWidth="1"/>
    <col min="5" max="5" width="10" style="2016" hidden="1" customWidth="1"/>
    <col min="6" max="6" width="8.69921875" style="2016" hidden="1" customWidth="1"/>
    <col min="7" max="7" width="7.59765625" style="2016" hidden="1" customWidth="1"/>
    <col min="8" max="8" width="11.3984375" style="2016" hidden="1" customWidth="1"/>
    <col min="9" max="9" width="14.09765625" style="2016" hidden="1" customWidth="1"/>
    <col min="10" max="10" width="9.796875" style="2016" hidden="1" customWidth="1"/>
    <col min="11" max="11" width="14.69921875" style="2016" hidden="1" customWidth="1"/>
    <col min="12" max="12" width="19.09765625" style="2216" hidden="1" customWidth="1"/>
    <col min="13" max="14" width="12.296875" style="2006" hidden="1" customWidth="1"/>
    <col min="15" max="15" width="23.3984375" style="2006" hidden="1" customWidth="1"/>
    <col min="16" max="16" width="3" style="2217" customWidth="1"/>
    <col min="17" max="18" width="3" style="2215" customWidth="1"/>
    <col min="19" max="19" width="12" style="2218" customWidth="1"/>
    <col min="20" max="20" width="35" style="2004" customWidth="1"/>
    <col min="21" max="21" width="9.765625E-2" style="2004" customWidth="1"/>
    <col min="22" max="24" width="24.69921875" style="2004" hidden="1" customWidth="1"/>
    <col min="25" max="25" width="11.69921875" style="2004" hidden="1" customWidth="1"/>
    <col min="26" max="26" width="3.69921875" style="2004" hidden="1" customWidth="1"/>
    <col min="27" max="27" width="11.69921875" style="2004" hidden="1" customWidth="1"/>
    <col min="28" max="28" width="8.59765625" style="2004" hidden="1" customWidth="1"/>
    <col min="29" max="29" width="24.69921875" style="2004" customWidth="1"/>
    <col min="30" max="31" width="24" style="2004" customWidth="1"/>
    <col min="32" max="32" width="11" style="2004" customWidth="1"/>
    <col min="33" max="33" width="3.69921875" style="2004" customWidth="1"/>
    <col min="34" max="34" width="11" style="2004" customWidth="1"/>
    <col min="35" max="35" width="8.59765625" style="2004" hidden="1" customWidth="1"/>
    <col min="36" max="36" width="4" style="2004" customWidth="1"/>
    <col min="37" max="37" width="115" style="2004" customWidth="1"/>
    <col min="38" max="42" width="10" style="2017" customWidth="1"/>
    <col min="43" max="43" width="10.59765625" style="2004" hidden="1"/>
  </cols>
  <sheetData>
    <row r="1" spans="1:43" ht="22.5" hidden="1" customHeight="1">
      <c r="X1" s="262"/>
      <c r="Y1" s="262"/>
      <c r="AE1" s="262"/>
      <c r="AF1" s="262"/>
      <c r="AQ1" s="1072" t="s">
        <v>14</v>
      </c>
    </row>
    <row r="2" spans="1:43" ht="23.25" hidden="1" customHeight="1">
      <c r="A2" s="1280"/>
      <c r="B2" s="1280"/>
      <c r="C2" s="1280"/>
      <c r="D2" s="1280"/>
      <c r="E2" s="3199">
        <v>1</v>
      </c>
      <c r="F2" s="1280"/>
      <c r="G2" s="1280"/>
      <c r="H2" s="1280"/>
      <c r="I2" s="1280"/>
      <c r="J2" s="1280"/>
      <c r="K2" s="1280"/>
      <c r="L2" s="1281"/>
      <c r="M2" s="1282"/>
      <c r="N2" s="1282"/>
      <c r="O2" s="1282"/>
      <c r="P2" s="295"/>
      <c r="Q2" s="294"/>
      <c r="R2" s="289"/>
      <c r="S2" s="1410" t="e">
        <f>INDEX(PT_DIFFERENTIATION_NUM_NTAR,MATCH(A2,PT_DIFFERENTIATION_NTAR_ID,0))</f>
        <v>#N/A</v>
      </c>
      <c r="T2" s="233" t="s">
        <v>137</v>
      </c>
      <c r="U2" s="235"/>
      <c r="V2" s="3185"/>
      <c r="W2" s="3186"/>
      <c r="X2" s="3186"/>
      <c r="Y2" s="3186"/>
      <c r="Z2" s="3186"/>
      <c r="AA2" s="3186"/>
      <c r="AB2" s="3187"/>
      <c r="AC2" s="3185" t="e">
        <f>INDEX(PT_DIFFERENTIATION_NTAR,MATCH(A2,PT_DIFFERENTIATION_NTAR_ID,0))</f>
        <v>#N/A</v>
      </c>
      <c r="AD2" s="3186"/>
      <c r="AE2" s="3186"/>
      <c r="AF2" s="3186"/>
      <c r="AG2" s="3186"/>
      <c r="AH2" s="3186"/>
      <c r="AI2" s="3186"/>
      <c r="AJ2" s="3187"/>
      <c r="AK2"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4"/>
      <c r="AN2" s="434" t="str">
        <f t="shared" ref="AN2:AN13" si="0">IF(T2="","",T2)</f>
        <v>Наименование тарифа</v>
      </c>
      <c r="AO2" s="434"/>
      <c r="AP2" s="434"/>
      <c r="AQ2" s="1072">
        <v>0</v>
      </c>
    </row>
    <row r="3" spans="1:43" ht="23.25" hidden="1" customHeight="1">
      <c r="A3" s="1280"/>
      <c r="B3" s="1280"/>
      <c r="C3" s="1280"/>
      <c r="D3" s="1280"/>
      <c r="E3" s="3200"/>
      <c r="F3" s="3199">
        <v>1</v>
      </c>
      <c r="G3" s="1280"/>
      <c r="H3" s="1280"/>
      <c r="I3" s="1280"/>
      <c r="J3" s="1280"/>
      <c r="K3" s="1280"/>
      <c r="L3" s="1281"/>
      <c r="M3" s="1282"/>
      <c r="N3" s="1282"/>
      <c r="O3" s="1282"/>
      <c r="P3" s="1404"/>
      <c r="Q3" s="286"/>
      <c r="R3" s="287"/>
      <c r="S3" s="1410" t="e">
        <f>INDEX(PT_DIFFERENTIATION_NUM_TER,MATCH(B3,PT_DIFFERENTIATION_TER_ID,0))</f>
        <v>#N/A</v>
      </c>
      <c r="T3" s="243" t="s">
        <v>432</v>
      </c>
      <c r="U3" s="235"/>
      <c r="V3" s="3185"/>
      <c r="W3" s="3186"/>
      <c r="X3" s="3186"/>
      <c r="Y3" s="3186"/>
      <c r="Z3" s="3186"/>
      <c r="AA3" s="3186"/>
      <c r="AB3" s="3187"/>
      <c r="AC3" s="3185" t="e">
        <f>INDEX(PT_DIFFERENTIATION_TER,MATCH(B3,PT_DIFFERENTIATION_TER_ID,0))</f>
        <v>#N/A</v>
      </c>
      <c r="AD3" s="3186"/>
      <c r="AE3" s="3186"/>
      <c r="AF3" s="3186"/>
      <c r="AG3" s="3186"/>
      <c r="AH3" s="3186"/>
      <c r="AI3" s="3186"/>
      <c r="AJ3" s="3187"/>
      <c r="AK3" s="1175" t="s">
        <v>433</v>
      </c>
      <c r="AM3" s="434"/>
      <c r="AN3" s="434" t="str">
        <f t="shared" si="0"/>
        <v>Территория действия тарифа</v>
      </c>
      <c r="AO3" s="434"/>
      <c r="AP3" s="434"/>
      <c r="AQ3" s="1072">
        <v>0</v>
      </c>
    </row>
    <row r="4" spans="1:43" ht="23.25" hidden="1" customHeight="1">
      <c r="A4" s="1280"/>
      <c r="B4" s="1280"/>
      <c r="C4" s="1280"/>
      <c r="D4" s="1280"/>
      <c r="E4" s="3200"/>
      <c r="F4" s="3200"/>
      <c r="G4" s="3199">
        <v>1</v>
      </c>
      <c r="H4" s="1280"/>
      <c r="I4" s="1280"/>
      <c r="J4" s="1280"/>
      <c r="K4" s="1280"/>
      <c r="L4" s="1281"/>
      <c r="M4" s="1282"/>
      <c r="N4" s="1282"/>
      <c r="O4" s="1282"/>
      <c r="P4" s="288"/>
      <c r="Q4" s="286"/>
      <c r="R4" s="287"/>
      <c r="S4" s="1410" t="e">
        <f>INDEX(PT_DIFFERENTIATION_NUM_CS,MATCH(C4,PT_DIFFERENTIATION_CS_ID,0))</f>
        <v>#N/A</v>
      </c>
      <c r="T4" s="244" t="s">
        <v>549</v>
      </c>
      <c r="U4" s="235"/>
      <c r="V4" s="3185"/>
      <c r="W4" s="3186"/>
      <c r="X4" s="3186"/>
      <c r="Y4" s="3186"/>
      <c r="Z4" s="3186"/>
      <c r="AA4" s="3186"/>
      <c r="AB4" s="3187"/>
      <c r="AC4" s="3185" t="e">
        <f>INDEX(PT_DIFFERENTIATION_CS,MATCH(C4,PT_DIFFERENTIATION_CS_ID,0))</f>
        <v>#N/A</v>
      </c>
      <c r="AD4" s="3186"/>
      <c r="AE4" s="3186"/>
      <c r="AF4" s="3186"/>
      <c r="AG4" s="3186"/>
      <c r="AH4" s="3186"/>
      <c r="AI4" s="3186"/>
      <c r="AJ4" s="3187"/>
      <c r="AK4" s="1175" t="s">
        <v>550</v>
      </c>
      <c r="AM4" s="434"/>
      <c r="AN4" s="434" t="str">
        <f t="shared" si="0"/>
        <v>Наименование централизованной системы водоотведения</v>
      </c>
      <c r="AO4" s="434"/>
      <c r="AP4" s="434"/>
      <c r="AQ4" s="1072">
        <v>0</v>
      </c>
    </row>
    <row r="5" spans="1:43" ht="23.25" hidden="1" customHeight="1">
      <c r="A5" s="1280"/>
      <c r="B5" s="1280"/>
      <c r="C5" s="1280"/>
      <c r="D5" s="1280"/>
      <c r="E5" s="3200"/>
      <c r="F5" s="3200"/>
      <c r="G5" s="3200"/>
      <c r="H5" s="3200"/>
      <c r="I5" s="3197" t="e">
        <f>S4&amp;".1"</f>
        <v>#N/A</v>
      </c>
      <c r="J5" s="1280"/>
      <c r="K5" s="1280"/>
      <c r="L5" s="1281"/>
      <c r="P5" s="3198">
        <v>1</v>
      </c>
      <c r="Q5" s="1398"/>
      <c r="R5" s="290"/>
      <c r="S5" s="1410" t="e">
        <f>$I5</f>
        <v>#N/A</v>
      </c>
      <c r="T5" s="220" t="s">
        <v>516</v>
      </c>
      <c r="U5" s="235"/>
      <c r="V5" s="3266"/>
      <c r="W5" s="3267"/>
      <c r="X5" s="3267"/>
      <c r="Y5" s="3267"/>
      <c r="Z5" s="3267"/>
      <c r="AA5" s="3267"/>
      <c r="AB5" s="3268"/>
      <c r="AC5" s="3269"/>
      <c r="AD5" s="3270"/>
      <c r="AE5" s="3270"/>
      <c r="AF5" s="3270"/>
      <c r="AG5" s="3270"/>
      <c r="AH5" s="3270"/>
      <c r="AI5" s="3270"/>
      <c r="AJ5" s="3271"/>
      <c r="AK5" s="1175" t="s">
        <v>517</v>
      </c>
      <c r="AM5" s="434"/>
      <c r="AN5" s="434" t="str">
        <f t="shared" si="0"/>
        <v>Наименование признака дифференциации</v>
      </c>
      <c r="AO5" s="434"/>
      <c r="AP5" s="434"/>
      <c r="AQ5" s="1072">
        <v>0</v>
      </c>
    </row>
    <row r="6" spans="1:43" ht="23.25" hidden="1" customHeight="1">
      <c r="A6" s="1280"/>
      <c r="B6" s="1280"/>
      <c r="C6" s="1280"/>
      <c r="D6" s="1280"/>
      <c r="E6" s="3200"/>
      <c r="F6" s="3200"/>
      <c r="G6" s="3200"/>
      <c r="H6" s="3200"/>
      <c r="I6" s="3220"/>
      <c r="J6" s="3197" t="e">
        <f>I5&amp;".1"</f>
        <v>#N/A</v>
      </c>
      <c r="K6" s="1280"/>
      <c r="L6" s="1281" t="s">
        <v>441</v>
      </c>
      <c r="P6" s="3198"/>
      <c r="Q6" s="3198">
        <v>1</v>
      </c>
      <c r="R6" s="291"/>
      <c r="S6" s="1410" t="e">
        <f>$J6</f>
        <v>#N/A</v>
      </c>
      <c r="T6" s="221" t="s">
        <v>442</v>
      </c>
      <c r="U6" s="235"/>
      <c r="V6" s="3188"/>
      <c r="W6" s="3189"/>
      <c r="X6" s="3189"/>
      <c r="Y6" s="3189"/>
      <c r="Z6" s="3189"/>
      <c r="AA6" s="3189"/>
      <c r="AB6" s="3190"/>
      <c r="AC6" s="3188"/>
      <c r="AD6" s="3189"/>
      <c r="AE6" s="3189"/>
      <c r="AF6" s="3189"/>
      <c r="AG6" s="3189"/>
      <c r="AH6" s="3189"/>
      <c r="AI6" s="3189"/>
      <c r="AJ6" s="3190"/>
      <c r="AK6" s="1224" t="s">
        <v>518</v>
      </c>
      <c r="AM6" s="434"/>
      <c r="AN6" s="434" t="str">
        <f t="shared" si="0"/>
        <v>Группа потребителей</v>
      </c>
      <c r="AO6" s="434"/>
      <c r="AP6" s="434"/>
      <c r="AQ6" s="1072">
        <v>0</v>
      </c>
    </row>
    <row r="7" spans="1:43" ht="23.25" hidden="1" customHeight="1">
      <c r="A7" s="1280"/>
      <c r="B7" s="1280"/>
      <c r="C7" s="1280"/>
      <c r="D7" s="1280"/>
      <c r="E7" s="3200"/>
      <c r="F7" s="3200"/>
      <c r="G7" s="3200"/>
      <c r="H7" s="3200"/>
      <c r="I7" s="3220"/>
      <c r="J7" s="3220"/>
      <c r="K7" s="3197" t="e">
        <f>J6&amp;".1"</f>
        <v>#N/A</v>
      </c>
      <c r="L7" s="1281"/>
      <c r="P7" s="3198"/>
      <c r="Q7" s="3198"/>
      <c r="R7" s="291">
        <v>1</v>
      </c>
      <c r="S7" s="1410" t="e">
        <f>$K7</f>
        <v>#N/A</v>
      </c>
      <c r="T7" s="1354"/>
      <c r="U7" s="235"/>
      <c r="V7" s="685"/>
      <c r="W7" s="685"/>
      <c r="X7" s="1174"/>
      <c r="Y7" s="3202"/>
      <c r="Z7" s="3048" t="s">
        <v>67</v>
      </c>
      <c r="AA7" s="3202"/>
      <c r="AB7" s="3048" t="s">
        <v>67</v>
      </c>
      <c r="AC7" s="685"/>
      <c r="AD7" s="685"/>
      <c r="AE7" s="1174"/>
      <c r="AF7" s="3202"/>
      <c r="AG7" s="3048" t="s">
        <v>67</v>
      </c>
      <c r="AH7" s="3221"/>
      <c r="AI7" s="3048" t="s">
        <v>67</v>
      </c>
      <c r="AJ7" s="1355"/>
      <c r="AK7" s="3265"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5" t="e">
        <f ca="1">STRCHECKDATE(V8:AJ8)</f>
        <v>#NAME?</v>
      </c>
      <c r="AM7" s="434"/>
      <c r="AN7" s="434" t="str">
        <f t="shared" si="0"/>
        <v/>
      </c>
      <c r="AO7" s="434"/>
      <c r="AP7" s="434"/>
      <c r="AQ7" s="1072">
        <v>0</v>
      </c>
    </row>
    <row r="8" spans="1:43" ht="14.25" hidden="1" customHeight="1">
      <c r="A8" s="1280"/>
      <c r="B8" s="1280"/>
      <c r="C8" s="1280"/>
      <c r="D8" s="1280"/>
      <c r="E8" s="3200"/>
      <c r="F8" s="3200"/>
      <c r="G8" s="3200"/>
      <c r="H8" s="3200"/>
      <c r="I8" s="3220"/>
      <c r="J8" s="3220"/>
      <c r="K8" s="3197"/>
      <c r="L8" s="1281"/>
      <c r="P8" s="3198"/>
      <c r="Q8" s="3198"/>
      <c r="R8" s="291"/>
      <c r="S8" s="1407"/>
      <c r="T8" s="235"/>
      <c r="U8" s="235"/>
      <c r="V8" s="260"/>
      <c r="W8" s="260"/>
      <c r="X8" s="263" t="str">
        <f>Y7&amp;"-"&amp;AA7</f>
        <v>-</v>
      </c>
      <c r="Y8" s="3203"/>
      <c r="Z8" s="3048"/>
      <c r="AA8" s="3203"/>
      <c r="AB8" s="3048"/>
      <c r="AC8" s="260"/>
      <c r="AD8" s="260"/>
      <c r="AE8" s="263" t="str">
        <f>AF7&amp;"-"&amp;AH7</f>
        <v>-</v>
      </c>
      <c r="AF8" s="3203"/>
      <c r="AG8" s="3048"/>
      <c r="AH8" s="3222"/>
      <c r="AI8" s="3048"/>
      <c r="AJ8" s="1356"/>
      <c r="AK8" s="3265"/>
      <c r="AM8" s="434"/>
      <c r="AN8" s="434" t="str">
        <f t="shared" si="0"/>
        <v/>
      </c>
      <c r="AO8" s="434"/>
      <c r="AP8" s="434"/>
      <c r="AQ8" s="1072">
        <v>0</v>
      </c>
    </row>
    <row r="9" spans="1:43" ht="21" hidden="1" customHeight="1">
      <c r="A9" s="1280"/>
      <c r="B9" s="1280"/>
      <c r="C9" s="1280"/>
      <c r="D9" s="1280"/>
      <c r="E9" s="3200"/>
      <c r="F9" s="3200"/>
      <c r="G9" s="3200"/>
      <c r="H9" s="3200"/>
      <c r="I9" s="3220"/>
      <c r="J9" s="3197"/>
      <c r="K9" s="1280"/>
      <c r="L9" s="1281"/>
      <c r="P9" s="3198"/>
      <c r="Q9" s="3198"/>
      <c r="R9" s="290"/>
      <c r="S9" s="1195"/>
      <c r="T9" s="222" t="s">
        <v>519</v>
      </c>
      <c r="U9" s="301"/>
      <c r="V9" s="301"/>
      <c r="W9" s="301"/>
      <c r="X9" s="301"/>
      <c r="Y9" s="301"/>
      <c r="Z9" s="301"/>
      <c r="AA9" s="301"/>
      <c r="AB9" s="301"/>
      <c r="AC9" s="301"/>
      <c r="AD9" s="301"/>
      <c r="AE9" s="301"/>
      <c r="AF9" s="301"/>
      <c r="AG9" s="301"/>
      <c r="AH9" s="301"/>
      <c r="AI9" s="301"/>
      <c r="AJ9" s="301"/>
      <c r="AK9" s="1175" t="s">
        <v>520</v>
      </c>
      <c r="AM9" s="434"/>
      <c r="AN9" s="434" t="str">
        <f t="shared" si="0"/>
        <v>Добавить значение признака дифференциации</v>
      </c>
      <c r="AO9" s="434"/>
      <c r="AP9" s="434"/>
      <c r="AQ9" s="1072">
        <v>0</v>
      </c>
    </row>
    <row r="10" spans="1:43" ht="21" hidden="1" customHeight="1">
      <c r="A10" s="1280"/>
      <c r="B10" s="1280"/>
      <c r="C10" s="1280"/>
      <c r="D10" s="1280"/>
      <c r="E10" s="3200"/>
      <c r="F10" s="3200"/>
      <c r="G10" s="3200"/>
      <c r="H10" s="3200"/>
      <c r="I10" s="3197"/>
      <c r="J10" s="1280"/>
      <c r="K10" s="1280"/>
      <c r="L10" s="1281"/>
      <c r="P10" s="3198"/>
      <c r="Q10" s="1398"/>
      <c r="R10" s="290"/>
      <c r="S10" s="1195"/>
      <c r="T10" s="299" t="s">
        <v>447</v>
      </c>
      <c r="U10" s="301"/>
      <c r="V10" s="301"/>
      <c r="W10" s="301"/>
      <c r="X10" s="301"/>
      <c r="Y10" s="301"/>
      <c r="Z10" s="301"/>
      <c r="AA10" s="301"/>
      <c r="AB10" s="300"/>
      <c r="AC10" s="301"/>
      <c r="AD10" s="301"/>
      <c r="AE10" s="301"/>
      <c r="AF10" s="301"/>
      <c r="AG10" s="301"/>
      <c r="AH10" s="301"/>
      <c r="AI10" s="300"/>
      <c r="AJ10" s="301"/>
      <c r="AK10" s="1357"/>
      <c r="AM10" s="434"/>
      <c r="AN10" s="434" t="str">
        <f t="shared" si="0"/>
        <v>Добавить группу потребителей</v>
      </c>
      <c r="AO10" s="434"/>
      <c r="AP10" s="434"/>
      <c r="AQ10" s="1072">
        <v>0</v>
      </c>
    </row>
    <row r="11" spans="1:43" ht="21" hidden="1" customHeight="1">
      <c r="A11" s="1280"/>
      <c r="B11" s="1280"/>
      <c r="C11" s="1280"/>
      <c r="D11" s="1280"/>
      <c r="E11" s="3200"/>
      <c r="F11" s="3200"/>
      <c r="G11" s="3200"/>
      <c r="H11" s="3199"/>
      <c r="I11" s="1280"/>
      <c r="J11" s="1280"/>
      <c r="K11" s="1280"/>
      <c r="L11" s="1281"/>
      <c r="M11" s="1282"/>
      <c r="N11" s="1282"/>
      <c r="O11" s="471"/>
      <c r="P11" s="294"/>
      <c r="Q11" s="309"/>
      <c r="R11" s="289"/>
      <c r="S11" s="1195"/>
      <c r="T11" s="306" t="s">
        <v>521</v>
      </c>
      <c r="U11" s="301"/>
      <c r="V11" s="301"/>
      <c r="W11" s="301"/>
      <c r="X11" s="301"/>
      <c r="Y11" s="301"/>
      <c r="Z11" s="301"/>
      <c r="AA11" s="301"/>
      <c r="AB11" s="300"/>
      <c r="AC11" s="301"/>
      <c r="AD11" s="301"/>
      <c r="AE11" s="301"/>
      <c r="AF11" s="301"/>
      <c r="AG11" s="301"/>
      <c r="AH11" s="301"/>
      <c r="AI11" s="300"/>
      <c r="AJ11" s="301"/>
      <c r="AK11" s="238"/>
      <c r="AM11" s="434"/>
      <c r="AN11" s="434" t="str">
        <f t="shared" si="0"/>
        <v>Добавить наименование признака дифференциации</v>
      </c>
      <c r="AO11" s="434"/>
      <c r="AP11" s="434"/>
      <c r="AQ11" s="1072">
        <v>0</v>
      </c>
    </row>
    <row r="12" spans="1:43" s="2017" customFormat="1" ht="14.25" hidden="1" customHeight="1">
      <c r="A12" s="1260"/>
      <c r="B12" s="1260"/>
      <c r="C12" s="1231"/>
      <c r="D12" s="1231"/>
      <c r="E12" s="3200"/>
      <c r="F12" s="3199"/>
      <c r="G12" s="1231"/>
      <c r="H12" s="1231"/>
      <c r="I12" s="1231"/>
      <c r="J12" s="1231"/>
      <c r="K12" s="1231"/>
      <c r="L12" s="1411"/>
      <c r="M12" s="1238"/>
      <c r="N12" s="1238"/>
      <c r="P12" s="1233"/>
      <c r="Q12" s="1234"/>
      <c r="R12" s="1233"/>
      <c r="S12" s="1239"/>
      <c r="T12" s="1242" t="s">
        <v>181</v>
      </c>
      <c r="U12" s="1241"/>
      <c r="V12" s="1241"/>
      <c r="W12" s="1241"/>
      <c r="X12" s="1241"/>
      <c r="Y12" s="1241"/>
      <c r="Z12" s="1241"/>
      <c r="AA12" s="1241"/>
      <c r="AB12" s="1241"/>
      <c r="AC12" s="1241"/>
      <c r="AD12" s="1241"/>
      <c r="AE12" s="1241"/>
      <c r="AF12" s="1241"/>
      <c r="AG12" s="1241"/>
      <c r="AH12" s="1241"/>
      <c r="AI12" s="1241"/>
      <c r="AJ12" s="1241"/>
      <c r="AK12" s="1241"/>
      <c r="AM12" s="717"/>
      <c r="AN12" s="717" t="str">
        <f t="shared" si="0"/>
        <v>Добавить централизованную систему для дифференциации</v>
      </c>
      <c r="AO12" s="717"/>
      <c r="AP12" s="717"/>
      <c r="AQ12" s="452">
        <v>0</v>
      </c>
    </row>
    <row r="13" spans="1:43" s="2017" customFormat="1" ht="14.25" hidden="1" customHeight="1">
      <c r="A13" s="1260"/>
      <c r="B13" s="1260"/>
      <c r="C13" s="1260"/>
      <c r="D13" s="1260"/>
      <c r="E13" s="3199"/>
      <c r="F13" s="1260"/>
      <c r="G13" s="1260"/>
      <c r="H13" s="1260"/>
      <c r="I13" s="1260"/>
      <c r="J13" s="1260"/>
      <c r="K13" s="1260"/>
      <c r="L13" s="1263"/>
      <c r="M13" s="1238"/>
      <c r="N13" s="1238"/>
      <c r="O13" s="452"/>
      <c r="P13" s="314"/>
      <c r="Q13" s="1261"/>
      <c r="R13" s="314"/>
      <c r="S13" s="1239"/>
      <c r="T13" s="1242" t="s">
        <v>188</v>
      </c>
      <c r="U13" s="1241"/>
      <c r="V13" s="1241"/>
      <c r="W13" s="1241"/>
      <c r="X13" s="1241"/>
      <c r="Y13" s="1241"/>
      <c r="Z13" s="1241"/>
      <c r="AA13" s="1241"/>
      <c r="AB13" s="1241"/>
      <c r="AC13" s="1241"/>
      <c r="AD13" s="1241"/>
      <c r="AE13" s="1241"/>
      <c r="AF13" s="1241"/>
      <c r="AG13" s="1241"/>
      <c r="AH13" s="1241"/>
      <c r="AI13" s="1241"/>
      <c r="AJ13" s="1241"/>
      <c r="AK13" s="1241"/>
      <c r="AM13" s="434"/>
      <c r="AN13" s="434" t="str">
        <f t="shared" si="0"/>
        <v>Добавить территорию для дифференциации</v>
      </c>
      <c r="AO13" s="434"/>
      <c r="AP13" s="434"/>
      <c r="AQ13" s="445">
        <v>0</v>
      </c>
    </row>
    <row r="14" spans="1:43" ht="14.25" hidden="1" customHeight="1">
      <c r="AB14" s="262"/>
      <c r="AI14" s="262"/>
      <c r="AQ14" s="1072">
        <v>0</v>
      </c>
    </row>
    <row r="15" spans="1:43" ht="14.25" hidden="1" customHeight="1">
      <c r="AC15" s="1277"/>
      <c r="AD15" s="1277"/>
      <c r="AE15" s="1278"/>
      <c r="AF15" s="3204"/>
      <c r="AG15" s="3205" t="s">
        <v>67</v>
      </c>
      <c r="AH15" s="3204"/>
      <c r="AI15" s="3205" t="s">
        <v>67</v>
      </c>
      <c r="AQ15" s="1072">
        <v>0</v>
      </c>
    </row>
    <row r="16" spans="1:43" ht="14.25" hidden="1" customHeight="1">
      <c r="AC16" s="1277"/>
      <c r="AD16" s="1277"/>
      <c r="AE16" s="263" t="str">
        <f>AF15&amp;"-"&amp;AH15</f>
        <v>-</v>
      </c>
      <c r="AF16" s="3205"/>
      <c r="AG16" s="3205"/>
      <c r="AH16" s="3205"/>
      <c r="AI16" s="3205"/>
      <c r="AQ16" s="1072">
        <v>0</v>
      </c>
    </row>
    <row r="17" spans="1:43" ht="14.25" hidden="1" customHeight="1">
      <c r="AI17" s="262"/>
      <c r="AQ17" s="1072">
        <v>0</v>
      </c>
    </row>
    <row r="18" spans="1:43" s="2016" customFormat="1" ht="22.5" hidden="1" customHeight="1">
      <c r="L18" s="1395"/>
      <c r="M18" s="1279"/>
      <c r="N18" s="1279"/>
      <c r="O18" s="1284" t="s">
        <v>449</v>
      </c>
      <c r="P18" s="1279"/>
      <c r="Q18" s="1288"/>
      <c r="R18" s="1288"/>
      <c r="S18" s="663"/>
      <c r="Y18" s="1284"/>
      <c r="AA18" s="1284"/>
      <c r="AB18" s="1283"/>
      <c r="AF18" s="1284"/>
      <c r="AH18" s="1284"/>
      <c r="AI18" s="1283"/>
      <c r="AL18" s="445"/>
      <c r="AM18" s="445"/>
      <c r="AN18" s="445"/>
      <c r="AO18" s="445"/>
      <c r="AP18" s="445"/>
      <c r="AQ18" s="1077">
        <v>0</v>
      </c>
    </row>
    <row r="19" spans="1:43" s="2016" customFormat="1" ht="14.25" hidden="1" customHeight="1">
      <c r="L19" s="1395"/>
      <c r="M19" s="1279"/>
      <c r="N19" s="1279"/>
      <c r="O19" s="1279"/>
      <c r="P19" s="1279"/>
      <c r="Q19" s="1288"/>
      <c r="R19" s="1288"/>
      <c r="S19" s="663"/>
      <c r="AB19" s="1283"/>
      <c r="AI19" s="1283"/>
      <c r="AL19" s="445"/>
      <c r="AM19" s="445"/>
      <c r="AN19" s="445"/>
      <c r="AO19" s="445"/>
      <c r="AP19" s="445"/>
      <c r="AQ19" s="1077">
        <v>0</v>
      </c>
    </row>
    <row r="20" spans="1:43" s="2016" customFormat="1" ht="12" hidden="1" customHeight="1">
      <c r="L20" s="1395"/>
      <c r="M20" s="1279"/>
      <c r="N20" s="1279"/>
      <c r="O20" s="1281" t="s">
        <v>450</v>
      </c>
      <c r="P20" s="1279"/>
      <c r="Q20" s="1359"/>
      <c r="R20" s="1359"/>
      <c r="S20" s="663"/>
      <c r="T20" s="1077" t="s">
        <v>451</v>
      </c>
      <c r="Z20" s="121" t="s">
        <v>452</v>
      </c>
      <c r="AB20" s="121" t="s">
        <v>453</v>
      </c>
      <c r="AC20" s="1077" t="s">
        <v>451</v>
      </c>
      <c r="AG20" s="121" t="s">
        <v>454</v>
      </c>
      <c r="AI20" s="121" t="s">
        <v>453</v>
      </c>
      <c r="AQ20" s="1077">
        <v>0</v>
      </c>
    </row>
    <row r="21" spans="1:43" ht="14.25" hidden="1" customHeight="1">
      <c r="O21" s="1281"/>
      <c r="AQ21" s="1072">
        <v>0</v>
      </c>
    </row>
    <row r="22" spans="1:43" ht="14.25" hidden="1" customHeight="1">
      <c r="O22" s="1281"/>
      <c r="AQ22" s="1072">
        <v>0</v>
      </c>
    </row>
    <row r="23" spans="1:43" ht="14.65" customHeight="1">
      <c r="Q23" s="310"/>
      <c r="R23" s="310"/>
      <c r="S23" s="1192"/>
      <c r="T23" s="297"/>
      <c r="U23" s="297"/>
      <c r="V23" s="443"/>
      <c r="W23" s="443"/>
      <c r="X23" s="443"/>
      <c r="Y23" s="443"/>
      <c r="Z23" s="443"/>
      <c r="AA23" s="443"/>
      <c r="AB23" s="443"/>
      <c r="AC23" s="443"/>
      <c r="AD23" s="443"/>
      <c r="AE23" s="443"/>
      <c r="AF23" s="443"/>
      <c r="AG23" s="443"/>
      <c r="AH23" s="443"/>
      <c r="AI23" s="443"/>
      <c r="AQ23" s="1072">
        <v>14</v>
      </c>
    </row>
    <row r="24" spans="1:43" ht="14.65" customHeight="1">
      <c r="Q24" s="310"/>
      <c r="R24" s="310"/>
      <c r="S24" s="3183"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3183"/>
      <c r="U24" s="3183"/>
      <c r="V24" s="3183"/>
      <c r="W24" s="3183"/>
      <c r="X24" s="3183"/>
      <c r="Y24" s="3183"/>
      <c r="Z24" s="3183"/>
      <c r="AA24" s="3183"/>
      <c r="AB24" s="3183"/>
      <c r="AC24" s="3183"/>
      <c r="AD24" s="3183"/>
      <c r="AE24" s="3183"/>
      <c r="AF24" s="3183"/>
      <c r="AG24" s="3183"/>
      <c r="AH24" s="3183"/>
      <c r="AI24" s="1160"/>
      <c r="AQ24" s="1072">
        <v>14</v>
      </c>
    </row>
    <row r="25" spans="1:43" ht="14.65" customHeight="1">
      <c r="Q25" s="310"/>
      <c r="R25" s="310"/>
      <c r="S25" s="3131" t="str">
        <f>IF(org=0,"Не определено",org)</f>
        <v>ООО "РСО"</v>
      </c>
      <c r="T25" s="3131"/>
      <c r="U25" s="3131"/>
      <c r="V25" s="3131"/>
      <c r="W25" s="3131"/>
      <c r="X25" s="3131"/>
      <c r="Y25" s="3131"/>
      <c r="Z25" s="3131"/>
      <c r="AA25" s="3131"/>
      <c r="AB25" s="3131"/>
      <c r="AC25" s="3131"/>
      <c r="AD25" s="3131"/>
      <c r="AE25" s="3131"/>
      <c r="AF25" s="3131"/>
      <c r="AG25" s="3131"/>
      <c r="AH25" s="3131"/>
      <c r="AI25" s="1160"/>
      <c r="AQ25" s="1072">
        <v>14</v>
      </c>
    </row>
    <row r="26" spans="1:43" ht="14.25" hidden="1" customHeight="1">
      <c r="Q26" s="310"/>
      <c r="R26" s="310"/>
      <c r="S26" s="1192"/>
      <c r="T26" s="297"/>
      <c r="U26" s="297"/>
      <c r="V26" s="257"/>
      <c r="W26" s="257"/>
      <c r="X26" s="257"/>
      <c r="Y26" s="257"/>
      <c r="Z26" s="257"/>
      <c r="AA26" s="257"/>
      <c r="AB26" s="257"/>
      <c r="AC26" s="257"/>
      <c r="AD26" s="257"/>
      <c r="AE26" s="257"/>
      <c r="AF26" s="257"/>
      <c r="AG26" s="257"/>
      <c r="AH26" s="257"/>
      <c r="AI26" s="257"/>
      <c r="AJ26" s="443"/>
      <c r="AQ26" s="1072">
        <v>0</v>
      </c>
    </row>
    <row r="27" spans="1:43" s="2028" customFormat="1" ht="25.5" hidden="1" customHeight="1">
      <c r="A27" s="1285"/>
      <c r="B27" s="1285"/>
      <c r="C27" s="1285"/>
      <c r="D27" s="1285"/>
      <c r="E27" s="1285"/>
      <c r="F27" s="1285"/>
      <c r="G27" s="1285"/>
      <c r="H27" s="1285"/>
      <c r="I27" s="1285"/>
      <c r="J27" s="1285"/>
      <c r="K27" s="1285"/>
      <c r="L27" s="1286"/>
      <c r="M27" s="1285"/>
      <c r="N27" s="1285"/>
      <c r="O27" s="1285"/>
      <c r="S27" s="3191" t="s">
        <v>42</v>
      </c>
      <c r="T27" s="3191"/>
      <c r="U27" s="1289"/>
      <c r="V27" s="3192" t="str">
        <f>IF(TITLE_NAME_OR_PR_CHANGE="",IF(TITLE_NAME_OR_PR="","",TITLE_NAME_OR_PR),TITLE_NAME_OR_PR_CHANGE)</f>
        <v/>
      </c>
      <c r="W27" s="3192"/>
      <c r="X27" s="3192"/>
      <c r="Y27" s="3192"/>
      <c r="Z27" s="3192"/>
      <c r="AA27" s="3192"/>
      <c r="AB27" s="261"/>
      <c r="AC27" s="3192" t="str">
        <f>IF(TITLE_NAME_OR_PR_CHANGE="",IF(TITLE_NAME_OR_PR="","",TITLE_NAME_OR_PR),TITLE_NAME_OR_PR_CHANGE)</f>
        <v/>
      </c>
      <c r="AD27" s="3192"/>
      <c r="AE27" s="3192"/>
      <c r="AF27" s="3192"/>
      <c r="AG27" s="3192"/>
      <c r="AH27" s="3192"/>
      <c r="AI27" s="261"/>
      <c r="AJ27" s="261"/>
      <c r="AK27" s="215"/>
      <c r="AL27" s="302"/>
      <c r="AM27" s="302"/>
      <c r="AN27" s="302"/>
      <c r="AO27" s="302"/>
      <c r="AP27" s="302"/>
      <c r="AQ27" s="352">
        <v>0</v>
      </c>
    </row>
    <row r="28" spans="1:43" s="2028" customFormat="1" ht="18.75" hidden="1" customHeight="1">
      <c r="A28" s="1285"/>
      <c r="B28" s="1285"/>
      <c r="C28" s="1285"/>
      <c r="D28" s="1285"/>
      <c r="E28" s="1285"/>
      <c r="F28" s="1285"/>
      <c r="G28" s="1285"/>
      <c r="H28" s="1285"/>
      <c r="I28" s="1285"/>
      <c r="J28" s="1285"/>
      <c r="K28" s="1285"/>
      <c r="L28" s="1286"/>
      <c r="M28" s="1285"/>
      <c r="N28" s="1285"/>
      <c r="O28" s="1285"/>
      <c r="S28" s="3191" t="s">
        <v>455</v>
      </c>
      <c r="T28" s="3191"/>
      <c r="U28" s="1289"/>
      <c r="V28" s="3201">
        <f>IF(TITLE_DATE_PR_CHANGE="",IF(TITLE_DATE_PR="","",TITLE_DATE_PR),TITLE_DATE_PR_CHANGE)</f>
        <v>45408</v>
      </c>
      <c r="W28" s="3201"/>
      <c r="X28" s="3201"/>
      <c r="Y28" s="3201"/>
      <c r="Z28" s="3201"/>
      <c r="AA28" s="3201"/>
      <c r="AB28" s="261"/>
      <c r="AC28" s="3201">
        <f>IF(TITLE_DATE_PR_CHANGE="",IF(TITLE_DATE_PR="","",TITLE_DATE_PR),TITLE_DATE_PR_CHANGE)</f>
        <v>45408</v>
      </c>
      <c r="AD28" s="3201"/>
      <c r="AE28" s="3201"/>
      <c r="AF28" s="3201"/>
      <c r="AG28" s="3201"/>
      <c r="AH28" s="3201"/>
      <c r="AI28" s="261"/>
      <c r="AJ28" s="261"/>
      <c r="AK28" s="215"/>
      <c r="AL28" s="302"/>
      <c r="AM28" s="302"/>
      <c r="AN28" s="302"/>
      <c r="AO28" s="302"/>
      <c r="AP28" s="302"/>
      <c r="AQ28" s="352">
        <v>0</v>
      </c>
    </row>
    <row r="29" spans="1:43" s="2028" customFormat="1" ht="18.75" hidden="1" customHeight="1">
      <c r="A29" s="1285"/>
      <c r="B29" s="1285"/>
      <c r="C29" s="1285"/>
      <c r="D29" s="1285"/>
      <c r="E29" s="1285"/>
      <c r="F29" s="1285"/>
      <c r="G29" s="1285"/>
      <c r="H29" s="1285"/>
      <c r="I29" s="1285"/>
      <c r="J29" s="1285"/>
      <c r="K29" s="1285"/>
      <c r="L29" s="1286"/>
      <c r="M29" s="1285"/>
      <c r="N29" s="1285"/>
      <c r="O29" s="1285"/>
      <c r="S29" s="3191" t="s">
        <v>456</v>
      </c>
      <c r="T29" s="3191"/>
      <c r="U29" s="1289"/>
      <c r="V29" s="3192" t="str">
        <f>IF(TITLE_NUMBER_PR_CHANGE="",IF(TITLE_NUMBER_PR="","",TITLE_NUMBER_PR),TITLE_NUMBER_PR_CHANGE)</f>
        <v>04-24/132, 04-24/131</v>
      </c>
      <c r="W29" s="3192"/>
      <c r="X29" s="3192"/>
      <c r="Y29" s="3192"/>
      <c r="Z29" s="3192"/>
      <c r="AA29" s="3192"/>
      <c r="AB29" s="261"/>
      <c r="AC29" s="3192" t="str">
        <f>IF(TITLE_NUMBER_PR_CHANGE="",IF(TITLE_NUMBER_PR="","",TITLE_NUMBER_PR),TITLE_NUMBER_PR_CHANGE)</f>
        <v>04-24/132, 04-24/131</v>
      </c>
      <c r="AD29" s="3192"/>
      <c r="AE29" s="3192"/>
      <c r="AF29" s="3192"/>
      <c r="AG29" s="3192"/>
      <c r="AH29" s="3192"/>
      <c r="AI29" s="261"/>
      <c r="AJ29" s="261"/>
      <c r="AK29" s="215"/>
      <c r="AL29" s="302"/>
      <c r="AM29" s="302"/>
      <c r="AN29" s="302"/>
      <c r="AO29" s="302"/>
      <c r="AP29" s="302"/>
      <c r="AQ29" s="352">
        <v>0</v>
      </c>
    </row>
    <row r="30" spans="1:43" s="2028" customFormat="1" ht="18.75" hidden="1" customHeight="1">
      <c r="A30" s="1285"/>
      <c r="B30" s="1285"/>
      <c r="C30" s="1285"/>
      <c r="D30" s="1285"/>
      <c r="E30" s="1285"/>
      <c r="F30" s="1285"/>
      <c r="G30" s="1285"/>
      <c r="H30" s="1285"/>
      <c r="I30" s="1285"/>
      <c r="J30" s="1285"/>
      <c r="K30" s="1285"/>
      <c r="L30" s="1286"/>
      <c r="M30" s="1285"/>
      <c r="N30" s="1285"/>
      <c r="O30" s="1285"/>
      <c r="S30" s="3191" t="s">
        <v>43</v>
      </c>
      <c r="T30" s="3191"/>
      <c r="U30" s="1289"/>
      <c r="V30" s="3192" t="str">
        <f>IF(TITLE_IST_PUB_CHANGE="",IF(TITLE_IST_PUB="","",TITLE_IST_PUB),TITLE_IST_PUB_CHANGE)</f>
        <v/>
      </c>
      <c r="W30" s="3192"/>
      <c r="X30" s="3192"/>
      <c r="Y30" s="3192"/>
      <c r="Z30" s="3192"/>
      <c r="AA30" s="3192"/>
      <c r="AB30" s="261"/>
      <c r="AC30" s="3192" t="str">
        <f>IF(TITLE_IST_PUB_CHANGE="",IF(TITLE_IST_PUB="","",TITLE_IST_PUB),TITLE_IST_PUB_CHANGE)</f>
        <v/>
      </c>
      <c r="AD30" s="3192"/>
      <c r="AE30" s="3192"/>
      <c r="AF30" s="3192"/>
      <c r="AG30" s="3192"/>
      <c r="AH30" s="3192"/>
      <c r="AI30" s="261"/>
      <c r="AJ30" s="261"/>
      <c r="AK30" s="215"/>
      <c r="AL30" s="302"/>
      <c r="AM30" s="302"/>
      <c r="AN30" s="302"/>
      <c r="AO30" s="302"/>
      <c r="AP30" s="302"/>
      <c r="AQ30" s="352">
        <v>0</v>
      </c>
    </row>
    <row r="31" spans="1:43" ht="14.25" customHeight="1">
      <c r="Q31" s="310"/>
      <c r="R31" s="310"/>
      <c r="S31" s="1192"/>
      <c r="T31" s="297"/>
      <c r="U31" s="297"/>
      <c r="V31" s="257"/>
      <c r="W31" s="257"/>
      <c r="X31" s="257"/>
      <c r="Y31" s="257"/>
      <c r="Z31" s="257"/>
      <c r="AA31" s="257"/>
      <c r="AB31" s="257"/>
      <c r="AC31" s="257"/>
      <c r="AD31" s="257"/>
      <c r="AE31" s="257"/>
      <c r="AF31" s="257"/>
      <c r="AG31" s="257"/>
      <c r="AH31" s="257"/>
      <c r="AI31" s="257"/>
      <c r="AJ31" s="443"/>
      <c r="AQ31" s="1072">
        <v>0</v>
      </c>
    </row>
    <row r="32" spans="1:43" s="2028" customFormat="1" ht="18.75" customHeight="1">
      <c r="A32" s="1285"/>
      <c r="B32" s="1285"/>
      <c r="C32" s="1285"/>
      <c r="D32" s="1285"/>
      <c r="E32" s="1285"/>
      <c r="F32" s="1285"/>
      <c r="G32" s="1285"/>
      <c r="H32" s="1285"/>
      <c r="I32" s="1285"/>
      <c r="J32" s="1285"/>
      <c r="K32" s="1285"/>
      <c r="L32" s="1286"/>
      <c r="M32" s="1285"/>
      <c r="N32" s="1285"/>
      <c r="O32" s="1285"/>
      <c r="S32" s="3191" t="s">
        <v>457</v>
      </c>
      <c r="T32" s="3191"/>
      <c r="U32" s="1289"/>
      <c r="V32" s="3201">
        <f>IF(TITLE_DATE_PR_CHANGE="",IF(TITLE_DATE_PR="","",TITLE_DATE_PR),TITLE_DATE_PR_CHANGE)</f>
        <v>45408</v>
      </c>
      <c r="W32" s="3201"/>
      <c r="X32" s="3201"/>
      <c r="Y32" s="3201"/>
      <c r="Z32" s="3201"/>
      <c r="AA32" s="3201"/>
      <c r="AB32" s="261"/>
      <c r="AC32" s="3201">
        <f>IF(TITLE_DATE_PR_CHANGE="",IF(TITLE_DATE_PR="","",TITLE_DATE_PR),TITLE_DATE_PR_CHANGE)</f>
        <v>45408</v>
      </c>
      <c r="AD32" s="3201"/>
      <c r="AE32" s="3201"/>
      <c r="AF32" s="3201"/>
      <c r="AG32" s="3201"/>
      <c r="AH32" s="3201"/>
      <c r="AI32" s="261"/>
      <c r="AJ32" s="261"/>
      <c r="AK32" s="215"/>
      <c r="AL32" s="302"/>
      <c r="AM32" s="302"/>
      <c r="AN32" s="302"/>
      <c r="AO32" s="302"/>
      <c r="AP32" s="302"/>
      <c r="AQ32" s="352">
        <v>0</v>
      </c>
    </row>
    <row r="33" spans="1:43" s="2028" customFormat="1" ht="18.75" customHeight="1">
      <c r="A33" s="1285"/>
      <c r="B33" s="1285"/>
      <c r="C33" s="1285"/>
      <c r="D33" s="1285"/>
      <c r="E33" s="1285"/>
      <c r="F33" s="1285"/>
      <c r="G33" s="1285"/>
      <c r="H33" s="1285"/>
      <c r="I33" s="1285"/>
      <c r="J33" s="1285"/>
      <c r="K33" s="1285"/>
      <c r="L33" s="1286"/>
      <c r="M33" s="1285"/>
      <c r="N33" s="1285"/>
      <c r="O33" s="1285"/>
      <c r="S33" s="3191" t="s">
        <v>458</v>
      </c>
      <c r="T33" s="3191"/>
      <c r="U33" s="1289"/>
      <c r="V33" s="3192" t="str">
        <f>IF(TITLE_NUMBER_PR_CHANGE="",IF(TITLE_NUMBER_PR="","",TITLE_NUMBER_PR),TITLE_NUMBER_PR_CHANGE)</f>
        <v>04-24/132, 04-24/131</v>
      </c>
      <c r="W33" s="3192"/>
      <c r="X33" s="3192"/>
      <c r="Y33" s="3192"/>
      <c r="Z33" s="3192"/>
      <c r="AA33" s="3192"/>
      <c r="AB33" s="261"/>
      <c r="AC33" s="3192" t="str">
        <f>IF(TITLE_NUMBER_PR_CHANGE="",IF(TITLE_NUMBER_PR="","",TITLE_NUMBER_PR),TITLE_NUMBER_PR_CHANGE)</f>
        <v>04-24/132, 04-24/131</v>
      </c>
      <c r="AD33" s="3192"/>
      <c r="AE33" s="3192"/>
      <c r="AF33" s="3192"/>
      <c r="AG33" s="3192"/>
      <c r="AH33" s="3192"/>
      <c r="AI33" s="261"/>
      <c r="AJ33" s="261"/>
      <c r="AK33" s="215"/>
      <c r="AL33" s="302"/>
      <c r="AM33" s="302"/>
      <c r="AN33" s="302"/>
      <c r="AO33" s="302"/>
      <c r="AP33" s="302"/>
      <c r="AQ33" s="352">
        <v>0</v>
      </c>
    </row>
    <row r="34" spans="1:43" s="2028" customFormat="1" ht="1" customHeight="1">
      <c r="A34" s="1285"/>
      <c r="B34" s="1285"/>
      <c r="C34" s="1285"/>
      <c r="D34" s="1285"/>
      <c r="E34" s="1285"/>
      <c r="F34" s="1285"/>
      <c r="G34" s="1285"/>
      <c r="H34" s="1285"/>
      <c r="I34" s="1285"/>
      <c r="J34" s="1285"/>
      <c r="K34" s="1285"/>
      <c r="L34" s="1286"/>
      <c r="M34" s="1285"/>
      <c r="N34" s="1285"/>
      <c r="O34" s="1285"/>
      <c r="S34" s="258"/>
      <c r="T34" s="258"/>
      <c r="U34" s="1405"/>
      <c r="V34" s="261"/>
      <c r="W34" s="261"/>
      <c r="X34" s="261"/>
      <c r="Y34" s="261"/>
      <c r="Z34" s="261"/>
      <c r="AA34" s="261"/>
      <c r="AB34" s="213" t="s">
        <v>459</v>
      </c>
      <c r="AC34" s="261"/>
      <c r="AD34" s="261"/>
      <c r="AE34" s="261"/>
      <c r="AF34" s="261"/>
      <c r="AG34" s="261"/>
      <c r="AH34" s="261"/>
      <c r="AI34" s="213" t="s">
        <v>459</v>
      </c>
      <c r="AL34" s="302"/>
      <c r="AM34" s="302"/>
      <c r="AN34" s="302"/>
      <c r="AO34" s="302"/>
      <c r="AP34" s="302"/>
      <c r="AQ34" s="352">
        <v>1</v>
      </c>
    </row>
    <row r="35" spans="1:43" ht="14.65" customHeight="1">
      <c r="Q35" s="310"/>
      <c r="R35" s="310"/>
      <c r="S35" s="1192"/>
      <c r="T35" s="297"/>
      <c r="U35" s="1161"/>
      <c r="V35" s="3193"/>
      <c r="W35" s="3193"/>
      <c r="X35" s="3193"/>
      <c r="Y35" s="3193"/>
      <c r="Z35" s="3193"/>
      <c r="AA35" s="3193"/>
      <c r="AB35" s="3193"/>
      <c r="AC35" s="3193"/>
      <c r="AD35" s="3193"/>
      <c r="AE35" s="3193"/>
      <c r="AF35" s="3193"/>
      <c r="AG35" s="3193"/>
      <c r="AH35" s="3193"/>
      <c r="AI35" s="3193"/>
      <c r="AQ35" s="1072">
        <v>14</v>
      </c>
    </row>
    <row r="36" spans="1:43" ht="14.65" customHeight="1">
      <c r="Q36" s="310"/>
      <c r="R36" s="310"/>
      <c r="S36" s="3067" t="s">
        <v>335</v>
      </c>
      <c r="T36" s="3067"/>
      <c r="U36" s="3067"/>
      <c r="V36" s="3067"/>
      <c r="W36" s="3067"/>
      <c r="X36" s="3067"/>
      <c r="Y36" s="3067"/>
      <c r="Z36" s="3067"/>
      <c r="AA36" s="3067"/>
      <c r="AB36" s="3067"/>
      <c r="AC36" s="3067"/>
      <c r="AD36" s="3067"/>
      <c r="AE36" s="3067"/>
      <c r="AF36" s="3067"/>
      <c r="AG36" s="3067"/>
      <c r="AH36" s="3067"/>
      <c r="AI36" s="3067"/>
      <c r="AJ36" s="3067"/>
      <c r="AK36" s="3067" t="s">
        <v>336</v>
      </c>
      <c r="AQ36" s="1072">
        <v>14</v>
      </c>
    </row>
    <row r="37" spans="1:43" ht="14.65" customHeight="1">
      <c r="Q37" s="310"/>
      <c r="R37" s="310"/>
      <c r="S37" s="3207" t="s">
        <v>89</v>
      </c>
      <c r="T37" s="3159" t="s">
        <v>460</v>
      </c>
      <c r="U37" s="236"/>
      <c r="V37" s="3208" t="s">
        <v>461</v>
      </c>
      <c r="W37" s="3209"/>
      <c r="X37" s="3209"/>
      <c r="Y37" s="3209"/>
      <c r="Z37" s="3209"/>
      <c r="AA37" s="3210"/>
      <c r="AB37" s="3211" t="s">
        <v>462</v>
      </c>
      <c r="AC37" s="3208" t="s">
        <v>461</v>
      </c>
      <c r="AD37" s="3209"/>
      <c r="AE37" s="3209"/>
      <c r="AF37" s="3209"/>
      <c r="AG37" s="3209"/>
      <c r="AH37" s="3210"/>
      <c r="AI37" s="3211" t="s">
        <v>463</v>
      </c>
      <c r="AJ37" s="3214" t="s">
        <v>464</v>
      </c>
      <c r="AK37" s="3067"/>
      <c r="AQ37" s="1072">
        <v>14</v>
      </c>
    </row>
    <row r="38" spans="1:43" ht="35.65" customHeight="1">
      <c r="Q38" s="310"/>
      <c r="R38" s="310"/>
      <c r="S38" s="3207"/>
      <c r="T38" s="3159"/>
      <c r="U38" s="952"/>
      <c r="V38" s="1400" t="s">
        <v>522</v>
      </c>
      <c r="W38" s="3038" t="s">
        <v>467</v>
      </c>
      <c r="X38" s="3037"/>
      <c r="Y38" s="3038" t="s">
        <v>468</v>
      </c>
      <c r="Z38" s="3044"/>
      <c r="AA38" s="3037"/>
      <c r="AB38" s="3212"/>
      <c r="AC38" s="1400" t="s">
        <v>522</v>
      </c>
      <c r="AD38" s="3038" t="s">
        <v>467</v>
      </c>
      <c r="AE38" s="3037"/>
      <c r="AF38" s="3038" t="s">
        <v>468</v>
      </c>
      <c r="AG38" s="3044"/>
      <c r="AH38" s="3037"/>
      <c r="AI38" s="3212"/>
      <c r="AJ38" s="3215"/>
      <c r="AK38" s="3067"/>
      <c r="AQ38" s="1072">
        <v>34</v>
      </c>
    </row>
    <row r="39" spans="1:43" ht="90.25" customHeight="1">
      <c r="A39" s="1287"/>
      <c r="B39" s="1287" t="s">
        <v>149</v>
      </c>
      <c r="C39" s="1287" t="s">
        <v>150</v>
      </c>
      <c r="D39" s="1287" t="s">
        <v>151</v>
      </c>
      <c r="E39" s="1281" t="s">
        <v>469</v>
      </c>
      <c r="F39" s="1281" t="s">
        <v>470</v>
      </c>
      <c r="G39" s="1281" t="s">
        <v>471</v>
      </c>
      <c r="H39" s="1281"/>
      <c r="I39" s="1281" t="s">
        <v>523</v>
      </c>
      <c r="J39" s="1281" t="s">
        <v>474</v>
      </c>
      <c r="K39" s="1281" t="s">
        <v>524</v>
      </c>
      <c r="L39" s="1281" t="s">
        <v>450</v>
      </c>
      <c r="Q39" s="310"/>
      <c r="R39" s="310"/>
      <c r="S39" s="3207"/>
      <c r="T39" s="3159"/>
      <c r="U39" s="237"/>
      <c r="V39" s="1400" t="s">
        <v>551</v>
      </c>
      <c r="W39" s="1139" t="s">
        <v>552</v>
      </c>
      <c r="X39" s="1139" t="s">
        <v>527</v>
      </c>
      <c r="Y39" s="1406" t="s">
        <v>478</v>
      </c>
      <c r="Z39" s="3167" t="s">
        <v>479</v>
      </c>
      <c r="AA39" s="3169"/>
      <c r="AB39" s="3213"/>
      <c r="AC39" s="1400" t="s">
        <v>551</v>
      </c>
      <c r="AD39" s="1139" t="s">
        <v>552</v>
      </c>
      <c r="AE39" s="1139" t="s">
        <v>527</v>
      </c>
      <c r="AF39" s="1406" t="s">
        <v>478</v>
      </c>
      <c r="AG39" s="3167" t="s">
        <v>479</v>
      </c>
      <c r="AH39" s="3169"/>
      <c r="AI39" s="3213"/>
      <c r="AJ39" s="3216"/>
      <c r="AK39" s="3067"/>
      <c r="AQ39" s="1072">
        <v>86</v>
      </c>
    </row>
    <row r="40" spans="1:43" s="2212" customFormat="1" ht="0" hidden="1" customHeight="1">
      <c r="A40" s="1287"/>
      <c r="B40" s="1287"/>
      <c r="C40" s="1287"/>
      <c r="D40" s="1287"/>
      <c r="E40" s="1287"/>
      <c r="F40" s="1287"/>
      <c r="G40" s="1287"/>
      <c r="H40" s="1287"/>
      <c r="I40" s="1287"/>
      <c r="J40" s="1287"/>
      <c r="K40" s="1287"/>
      <c r="L40" s="1281"/>
      <c r="M40" s="1279"/>
      <c r="N40" s="1279"/>
      <c r="O40" s="1279"/>
      <c r="P40" s="1163"/>
      <c r="Q40" s="1164"/>
      <c r="R40" s="1171">
        <v>1</v>
      </c>
      <c r="S40" s="1194" t="s">
        <v>124</v>
      </c>
      <c r="T40" s="1172" t="s">
        <v>104</v>
      </c>
      <c r="U40" s="1162" t="str">
        <f ca="1">OFFSET(U40,0,-1)</f>
        <v>2</v>
      </c>
      <c r="V40" s="1399">
        <f ca="1">OFFSET(V40,0,-1)+1</f>
        <v>3</v>
      </c>
      <c r="W40" s="1399">
        <f ca="1">OFFSET(W40,0,-1)+1</f>
        <v>4</v>
      </c>
      <c r="X40" s="1399">
        <f ca="1">OFFSET(X40,0,-1)+1</f>
        <v>5</v>
      </c>
      <c r="Y40" s="1399">
        <f ca="1">OFFSET(Y40,0,-1)+1</f>
        <v>6</v>
      </c>
      <c r="Z40" s="3206">
        <f ca="1">OFFSET(Z40,0,-1)+1</f>
        <v>7</v>
      </c>
      <c r="AA40" s="3206"/>
      <c r="AB40" s="1399">
        <f ca="1">OFFSET(AB40,0,-2)+1</f>
        <v>8</v>
      </c>
      <c r="AC40" s="1399">
        <f ca="1">OFFSET(AC40,0,-1)+1</f>
        <v>9</v>
      </c>
      <c r="AD40" s="1399">
        <f ca="1">OFFSET(AD40,0,-1)+1</f>
        <v>10</v>
      </c>
      <c r="AE40" s="1399">
        <f ca="1">OFFSET(AE40,0,-1)+1</f>
        <v>11</v>
      </c>
      <c r="AF40" s="1399">
        <f ca="1">OFFSET(AF40,0,-1)+1</f>
        <v>12</v>
      </c>
      <c r="AG40" s="3206">
        <f ca="1">OFFSET(AG40,0,-1)+1</f>
        <v>13</v>
      </c>
      <c r="AH40" s="3206"/>
      <c r="AI40" s="1399">
        <f ca="1">OFFSET(AI40,0,-2)+1</f>
        <v>14</v>
      </c>
      <c r="AJ40" s="1162">
        <f ca="1">OFFSET(AJ40,0,-1)</f>
        <v>14</v>
      </c>
      <c r="AK40" s="1399">
        <f ca="1">OFFSET(AK40,0,-1)+1</f>
        <v>15</v>
      </c>
      <c r="AL40" s="445"/>
      <c r="AM40" s="445"/>
      <c r="AN40" s="445"/>
      <c r="AO40" s="445"/>
      <c r="AP40" s="445"/>
      <c r="AQ40" s="430">
        <v>0</v>
      </c>
    </row>
    <row r="41" spans="1:43" ht="24" customHeight="1">
      <c r="A41" s="1280" t="s">
        <v>306</v>
      </c>
      <c r="B41" s="1280"/>
      <c r="C41" s="1280"/>
      <c r="D41" s="1280"/>
      <c r="E41" s="3199">
        <v>1</v>
      </c>
      <c r="F41" s="1280"/>
      <c r="G41" s="1280"/>
      <c r="H41" s="1280"/>
      <c r="I41" s="1280"/>
      <c r="J41" s="1280"/>
      <c r="K41" s="1280"/>
      <c r="L41" s="1281"/>
      <c r="M41" s="1282"/>
      <c r="N41" s="1282"/>
      <c r="O41" s="1282"/>
      <c r="P41" s="295"/>
      <c r="Q41" s="294"/>
      <c r="R41" s="289"/>
      <c r="S41" s="1410">
        <f>INDEX(PT_DIFFERENTIATION_NUM_NTAR,MATCH(A41,PT_DIFFERENTIATION_NTAR_ID,0))</f>
        <v>0</v>
      </c>
      <c r="T41" s="233" t="s">
        <v>137</v>
      </c>
      <c r="U41" s="235"/>
      <c r="V41" s="3185"/>
      <c r="W41" s="3186"/>
      <c r="X41" s="3186"/>
      <c r="Y41" s="3186"/>
      <c r="Z41" s="3186"/>
      <c r="AA41" s="3186"/>
      <c r="AB41" s="3187"/>
      <c r="AC41" s="3185" t="str">
        <f>INDEX(PT_DIFFERENTIATION_NTAR,MATCH(A41,PT_DIFFERENTIATION_NTAR_ID,0))</f>
        <v/>
      </c>
      <c r="AD41" s="3186"/>
      <c r="AE41" s="3186"/>
      <c r="AF41" s="3186"/>
      <c r="AG41" s="3186"/>
      <c r="AH41" s="3186"/>
      <c r="AI41" s="3186"/>
      <c r="AJ41" s="3187"/>
      <c r="AK41"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4"/>
      <c r="AN41" s="434" t="str">
        <f t="shared" ref="AN41:AN53" si="1">IF(T41="","",T41)</f>
        <v>Наименование тарифа</v>
      </c>
      <c r="AO41" s="434"/>
      <c r="AP41" s="434"/>
      <c r="AQ41" s="1072">
        <v>23</v>
      </c>
    </row>
    <row r="42" spans="1:43" ht="24" customHeight="1">
      <c r="A42" s="1280" t="s">
        <v>306</v>
      </c>
      <c r="B42" s="1280" t="s">
        <v>307</v>
      </c>
      <c r="C42" s="1280"/>
      <c r="D42" s="1280"/>
      <c r="E42" s="3200"/>
      <c r="F42" s="3199">
        <v>1</v>
      </c>
      <c r="G42" s="1280"/>
      <c r="H42" s="1280"/>
      <c r="I42" s="1280"/>
      <c r="J42" s="1280"/>
      <c r="K42" s="1280"/>
      <c r="L42" s="1281"/>
      <c r="M42" s="1282"/>
      <c r="N42" s="1282"/>
      <c r="O42" s="1282"/>
      <c r="P42" s="1404"/>
      <c r="Q42" s="286"/>
      <c r="R42" s="287"/>
      <c r="S42" s="1410" t="str">
        <f>INDEX(PT_DIFFERENTIATION_NUM_TER,MATCH(B42,PT_DIFFERENTIATION_TER_ID,0))</f>
        <v>.</v>
      </c>
      <c r="T42" s="243" t="s">
        <v>432</v>
      </c>
      <c r="U42" s="235"/>
      <c r="V42" s="3185"/>
      <c r="W42" s="3186"/>
      <c r="X42" s="3186"/>
      <c r="Y42" s="3186"/>
      <c r="Z42" s="3186"/>
      <c r="AA42" s="3186"/>
      <c r="AB42" s="3187"/>
      <c r="AC42" s="3185" t="str">
        <f>INDEX(PT_DIFFERENTIATION_TER,MATCH(B42,PT_DIFFERENTIATION_TER_ID,0))</f>
        <v/>
      </c>
      <c r="AD42" s="3186"/>
      <c r="AE42" s="3186"/>
      <c r="AF42" s="3186"/>
      <c r="AG42" s="3186"/>
      <c r="AH42" s="3186"/>
      <c r="AI42" s="3186"/>
      <c r="AJ42" s="3187"/>
      <c r="AK42" s="1175" t="s">
        <v>433</v>
      </c>
      <c r="AM42" s="434"/>
      <c r="AN42" s="434" t="str">
        <f t="shared" si="1"/>
        <v>Территория действия тарифа</v>
      </c>
      <c r="AO42" s="434"/>
      <c r="AP42" s="434"/>
      <c r="AQ42" s="1072">
        <v>23</v>
      </c>
    </row>
    <row r="43" spans="1:43" ht="24" customHeight="1">
      <c r="A43" s="1280" t="s">
        <v>306</v>
      </c>
      <c r="B43" s="1280" t="s">
        <v>307</v>
      </c>
      <c r="C43" s="1280" t="s">
        <v>308</v>
      </c>
      <c r="D43" s="1280"/>
      <c r="E43" s="3200"/>
      <c r="F43" s="3200"/>
      <c r="G43" s="3199">
        <v>1</v>
      </c>
      <c r="H43" s="1280"/>
      <c r="I43" s="1280"/>
      <c r="J43" s="1280"/>
      <c r="K43" s="1280"/>
      <c r="L43" s="1281"/>
      <c r="M43" s="1282"/>
      <c r="N43" s="1282"/>
      <c r="O43" s="1282"/>
      <c r="P43" s="288"/>
      <c r="Q43" s="286"/>
      <c r="R43" s="287"/>
      <c r="S43" s="1410" t="str">
        <f>INDEX(PT_DIFFERENTIATION_NUM_CS,MATCH(C43,PT_DIFFERENTIATION_CS_ID,0))</f>
        <v>..</v>
      </c>
      <c r="T43" s="244" t="s">
        <v>549</v>
      </c>
      <c r="U43" s="235"/>
      <c r="V43" s="3185"/>
      <c r="W43" s="3186"/>
      <c r="X43" s="3186"/>
      <c r="Y43" s="3186"/>
      <c r="Z43" s="3186"/>
      <c r="AA43" s="3186"/>
      <c r="AB43" s="3187"/>
      <c r="AC43" s="3185" t="str">
        <f>INDEX(PT_DIFFERENTIATION_CS,MATCH(C43,PT_DIFFERENTIATION_CS_ID,0))</f>
        <v/>
      </c>
      <c r="AD43" s="3186"/>
      <c r="AE43" s="3186"/>
      <c r="AF43" s="3186"/>
      <c r="AG43" s="3186"/>
      <c r="AH43" s="3186"/>
      <c r="AI43" s="3186"/>
      <c r="AJ43" s="3187"/>
      <c r="AK43" s="1175" t="s">
        <v>550</v>
      </c>
      <c r="AM43" s="434"/>
      <c r="AN43" s="434" t="str">
        <f t="shared" si="1"/>
        <v>Наименование централизованной системы водоотведения</v>
      </c>
      <c r="AO43" s="434"/>
      <c r="AP43" s="434"/>
      <c r="AQ43" s="1072">
        <v>23</v>
      </c>
    </row>
    <row r="44" spans="1:43" ht="24" customHeight="1">
      <c r="A44" s="1280" t="s">
        <v>306</v>
      </c>
      <c r="B44" s="1280" t="s">
        <v>307</v>
      </c>
      <c r="C44" s="1280" t="s">
        <v>308</v>
      </c>
      <c r="D44" s="1280" t="s">
        <v>554</v>
      </c>
      <c r="E44" s="3200"/>
      <c r="F44" s="3200"/>
      <c r="G44" s="3200"/>
      <c r="H44" s="3200"/>
      <c r="I44" s="3197" t="str">
        <f>S43&amp;".1"</f>
        <v>...1</v>
      </c>
      <c r="J44" s="1280"/>
      <c r="K44" s="1280"/>
      <c r="L44" s="1281"/>
      <c r="P44" s="3198">
        <v>1</v>
      </c>
      <c r="Q44" s="1398"/>
      <c r="R44" s="290"/>
      <c r="S44" s="1410" t="str">
        <f>$I44</f>
        <v>...1</v>
      </c>
      <c r="T44" s="220" t="s">
        <v>516</v>
      </c>
      <c r="U44" s="235"/>
      <c r="V44" s="3266"/>
      <c r="W44" s="3267"/>
      <c r="X44" s="3267"/>
      <c r="Y44" s="3267"/>
      <c r="Z44" s="3267"/>
      <c r="AA44" s="3267"/>
      <c r="AB44" s="3268"/>
      <c r="AC44" s="3269"/>
      <c r="AD44" s="3270"/>
      <c r="AE44" s="3270"/>
      <c r="AF44" s="3270"/>
      <c r="AG44" s="3270"/>
      <c r="AH44" s="3270"/>
      <c r="AI44" s="3270"/>
      <c r="AJ44" s="3271"/>
      <c r="AK44" s="1175" t="s">
        <v>517</v>
      </c>
      <c r="AM44" s="434"/>
      <c r="AN44" s="434" t="str">
        <f t="shared" si="1"/>
        <v>Наименование признака дифференциации</v>
      </c>
      <c r="AO44" s="434"/>
      <c r="AP44" s="434"/>
      <c r="AQ44" s="1072">
        <v>23</v>
      </c>
    </row>
    <row r="45" spans="1:43" ht="24" customHeight="1">
      <c r="A45" s="1280" t="s">
        <v>306</v>
      </c>
      <c r="B45" s="1280" t="s">
        <v>307</v>
      </c>
      <c r="C45" s="1280" t="s">
        <v>308</v>
      </c>
      <c r="D45" s="1280" t="s">
        <v>554</v>
      </c>
      <c r="E45" s="3200"/>
      <c r="F45" s="3200"/>
      <c r="G45" s="3200"/>
      <c r="H45" s="3200"/>
      <c r="I45" s="3220"/>
      <c r="J45" s="3197" t="str">
        <f>I44&amp;".1"</f>
        <v>...1.1</v>
      </c>
      <c r="K45" s="1280"/>
      <c r="L45" s="1281" t="s">
        <v>441</v>
      </c>
      <c r="P45" s="3198"/>
      <c r="Q45" s="3198">
        <v>1</v>
      </c>
      <c r="R45" s="291"/>
      <c r="S45" s="1410" t="str">
        <f>$J45</f>
        <v>...1.1</v>
      </c>
      <c r="T45" s="221" t="s">
        <v>442</v>
      </c>
      <c r="U45" s="235"/>
      <c r="V45" s="3188"/>
      <c r="W45" s="3189"/>
      <c r="X45" s="3189"/>
      <c r="Y45" s="3189"/>
      <c r="Z45" s="3189"/>
      <c r="AA45" s="3189"/>
      <c r="AB45" s="3190"/>
      <c r="AC45" s="3188"/>
      <c r="AD45" s="3189"/>
      <c r="AE45" s="3189"/>
      <c r="AF45" s="3189"/>
      <c r="AG45" s="3189"/>
      <c r="AH45" s="3189"/>
      <c r="AI45" s="3189"/>
      <c r="AJ45" s="3190"/>
      <c r="AK45" s="1224" t="s">
        <v>518</v>
      </c>
      <c r="AM45" s="434"/>
      <c r="AN45" s="434" t="str">
        <f t="shared" si="1"/>
        <v>Группа потребителей</v>
      </c>
      <c r="AO45" s="434"/>
      <c r="AP45" s="434"/>
      <c r="AQ45" s="1072">
        <v>23</v>
      </c>
    </row>
    <row r="46" spans="1:43" ht="24" customHeight="1">
      <c r="A46" s="1280" t="s">
        <v>306</v>
      </c>
      <c r="B46" s="1280" t="s">
        <v>307</v>
      </c>
      <c r="C46" s="1280" t="s">
        <v>308</v>
      </c>
      <c r="D46" s="1280" t="s">
        <v>554</v>
      </c>
      <c r="E46" s="3200"/>
      <c r="F46" s="3200"/>
      <c r="G46" s="3200"/>
      <c r="H46" s="3200"/>
      <c r="I46" s="3220"/>
      <c r="J46" s="3220"/>
      <c r="K46" s="3197" t="str">
        <f>J45&amp;".1"</f>
        <v>...1.1.1</v>
      </c>
      <c r="L46" s="1281"/>
      <c r="P46" s="3198"/>
      <c r="Q46" s="3198"/>
      <c r="R46" s="291">
        <v>1</v>
      </c>
      <c r="S46" s="1410" t="str">
        <f>$K46</f>
        <v>...1.1.1</v>
      </c>
      <c r="T46" s="1354"/>
      <c r="U46" s="235"/>
      <c r="V46" s="1277"/>
      <c r="W46" s="1277"/>
      <c r="X46" s="1278"/>
      <c r="Y46" s="3204"/>
      <c r="Z46" s="3205" t="s">
        <v>67</v>
      </c>
      <c r="AA46" s="3204"/>
      <c r="AB46" s="3205" t="s">
        <v>67</v>
      </c>
      <c r="AC46" s="685"/>
      <c r="AD46" s="685"/>
      <c r="AE46" s="1174"/>
      <c r="AF46" s="3202"/>
      <c r="AG46" s="3048" t="s">
        <v>67</v>
      </c>
      <c r="AH46" s="3221"/>
      <c r="AI46" s="3048" t="s">
        <v>19</v>
      </c>
      <c r="AJ46" s="1355"/>
      <c r="AK46" s="3265"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5" t="e">
        <f ca="1">STRCHECKDATE(V47:AJ47)</f>
        <v>#NAME?</v>
      </c>
      <c r="AM46" s="434"/>
      <c r="AN46" s="434" t="str">
        <f t="shared" si="1"/>
        <v/>
      </c>
      <c r="AO46" s="434"/>
      <c r="AP46" s="434"/>
      <c r="AQ46" s="1072">
        <v>23</v>
      </c>
    </row>
    <row r="47" spans="1:43" ht="0" hidden="1" customHeight="1">
      <c r="A47" s="1280" t="s">
        <v>306</v>
      </c>
      <c r="B47" s="1280" t="s">
        <v>307</v>
      </c>
      <c r="C47" s="1280" t="s">
        <v>308</v>
      </c>
      <c r="D47" s="1280" t="s">
        <v>554</v>
      </c>
      <c r="E47" s="3200"/>
      <c r="F47" s="3200"/>
      <c r="G47" s="3200"/>
      <c r="H47" s="3200"/>
      <c r="I47" s="3220"/>
      <c r="J47" s="3220"/>
      <c r="K47" s="3197"/>
      <c r="L47" s="1281"/>
      <c r="P47" s="3198"/>
      <c r="Q47" s="3198"/>
      <c r="R47" s="291"/>
      <c r="S47" s="1407"/>
      <c r="T47" s="235"/>
      <c r="U47" s="235"/>
      <c r="V47" s="1277"/>
      <c r="W47" s="1277"/>
      <c r="X47" s="263" t="str">
        <f>Y46&amp;"-"&amp;AA46</f>
        <v>-</v>
      </c>
      <c r="Y47" s="3205"/>
      <c r="Z47" s="3205"/>
      <c r="AA47" s="3205"/>
      <c r="AB47" s="3205"/>
      <c r="AC47" s="260"/>
      <c r="AD47" s="260"/>
      <c r="AE47" s="263" t="str">
        <f>AF46&amp;"-"&amp;AH46</f>
        <v>-</v>
      </c>
      <c r="AF47" s="3203"/>
      <c r="AG47" s="3048"/>
      <c r="AH47" s="3222"/>
      <c r="AI47" s="3048"/>
      <c r="AJ47" s="1356"/>
      <c r="AK47" s="3265"/>
      <c r="AM47" s="434"/>
      <c r="AN47" s="434" t="str">
        <f t="shared" si="1"/>
        <v/>
      </c>
      <c r="AO47" s="434"/>
      <c r="AP47" s="434"/>
      <c r="AQ47" s="1072">
        <v>0</v>
      </c>
    </row>
    <row r="48" spans="1:43" ht="21" customHeight="1">
      <c r="A48" s="1280" t="s">
        <v>306</v>
      </c>
      <c r="B48" s="1280" t="s">
        <v>307</v>
      </c>
      <c r="C48" s="1280" t="s">
        <v>308</v>
      </c>
      <c r="D48" s="1280" t="s">
        <v>554</v>
      </c>
      <c r="E48" s="3200"/>
      <c r="F48" s="3200"/>
      <c r="G48" s="3200"/>
      <c r="H48" s="3200"/>
      <c r="I48" s="3220"/>
      <c r="J48" s="3197"/>
      <c r="K48" s="1280"/>
      <c r="L48" s="1281"/>
      <c r="P48" s="3198"/>
      <c r="Q48" s="3198"/>
      <c r="R48" s="290"/>
      <c r="S48" s="1195"/>
      <c r="T48" s="222" t="s">
        <v>519</v>
      </c>
      <c r="U48" s="301"/>
      <c r="V48" s="301"/>
      <c r="W48" s="301"/>
      <c r="X48" s="301"/>
      <c r="Y48" s="301"/>
      <c r="Z48" s="301"/>
      <c r="AA48" s="301"/>
      <c r="AB48" s="301"/>
      <c r="AC48" s="301"/>
      <c r="AD48" s="301"/>
      <c r="AE48" s="301"/>
      <c r="AF48" s="301"/>
      <c r="AG48" s="301"/>
      <c r="AH48" s="301"/>
      <c r="AI48" s="301"/>
      <c r="AJ48" s="301"/>
      <c r="AK48" s="1175" t="s">
        <v>520</v>
      </c>
      <c r="AM48" s="434"/>
      <c r="AN48" s="434" t="str">
        <f t="shared" si="1"/>
        <v>Добавить значение признака дифференциации</v>
      </c>
      <c r="AO48" s="434"/>
      <c r="AP48" s="434"/>
      <c r="AQ48" s="1072">
        <v>20</v>
      </c>
    </row>
    <row r="49" spans="1:43" ht="22" customHeight="1">
      <c r="A49" s="1280" t="s">
        <v>306</v>
      </c>
      <c r="B49" s="1280" t="s">
        <v>307</v>
      </c>
      <c r="C49" s="1280" t="s">
        <v>308</v>
      </c>
      <c r="D49" s="1280" t="s">
        <v>554</v>
      </c>
      <c r="E49" s="3200"/>
      <c r="F49" s="3200"/>
      <c r="G49" s="3200"/>
      <c r="H49" s="3200"/>
      <c r="I49" s="3197"/>
      <c r="J49" s="1280"/>
      <c r="K49" s="1280"/>
      <c r="L49" s="1281"/>
      <c r="P49" s="3198"/>
      <c r="Q49" s="1398"/>
      <c r="R49" s="290"/>
      <c r="S49" s="1195"/>
      <c r="T49" s="299" t="s">
        <v>447</v>
      </c>
      <c r="U49" s="301"/>
      <c r="V49" s="301"/>
      <c r="W49" s="301"/>
      <c r="X49" s="301"/>
      <c r="Y49" s="301"/>
      <c r="Z49" s="301"/>
      <c r="AA49" s="301"/>
      <c r="AB49" s="300"/>
      <c r="AC49" s="301"/>
      <c r="AD49" s="301"/>
      <c r="AE49" s="301"/>
      <c r="AF49" s="301"/>
      <c r="AG49" s="301"/>
      <c r="AH49" s="301"/>
      <c r="AI49" s="300"/>
      <c r="AJ49" s="301"/>
      <c r="AK49" s="1357"/>
      <c r="AM49" s="434"/>
      <c r="AN49" s="434" t="str">
        <f t="shared" si="1"/>
        <v>Добавить группу потребителей</v>
      </c>
      <c r="AO49" s="434"/>
      <c r="AP49" s="434"/>
      <c r="AQ49" s="1072">
        <v>21</v>
      </c>
    </row>
    <row r="50" spans="1:43" ht="22" customHeight="1">
      <c r="A50" s="1280" t="s">
        <v>306</v>
      </c>
      <c r="B50" s="1280" t="s">
        <v>307</v>
      </c>
      <c r="C50" s="1280" t="s">
        <v>308</v>
      </c>
      <c r="D50" s="1280" t="s">
        <v>554</v>
      </c>
      <c r="E50" s="3200"/>
      <c r="F50" s="3200"/>
      <c r="G50" s="3200"/>
      <c r="H50" s="3199"/>
      <c r="I50" s="1280"/>
      <c r="J50" s="1280"/>
      <c r="K50" s="1280"/>
      <c r="L50" s="1281"/>
      <c r="M50" s="1282"/>
      <c r="N50" s="1282"/>
      <c r="O50" s="471"/>
      <c r="P50" s="294"/>
      <c r="Q50" s="309"/>
      <c r="R50" s="289"/>
      <c r="S50" s="1195"/>
      <c r="T50" s="306" t="s">
        <v>521</v>
      </c>
      <c r="U50" s="301"/>
      <c r="V50" s="301"/>
      <c r="W50" s="301"/>
      <c r="X50" s="301"/>
      <c r="Y50" s="301"/>
      <c r="Z50" s="301"/>
      <c r="AA50" s="301"/>
      <c r="AB50" s="300"/>
      <c r="AC50" s="301"/>
      <c r="AD50" s="301"/>
      <c r="AE50" s="301"/>
      <c r="AF50" s="301"/>
      <c r="AG50" s="301"/>
      <c r="AH50" s="301"/>
      <c r="AI50" s="300"/>
      <c r="AJ50" s="301"/>
      <c r="AK50" s="238"/>
      <c r="AM50" s="434"/>
      <c r="AN50" s="434" t="str">
        <f t="shared" si="1"/>
        <v>Добавить наименование признака дифференциации</v>
      </c>
      <c r="AO50" s="434"/>
      <c r="AP50" s="434"/>
      <c r="AQ50" s="1072">
        <v>21</v>
      </c>
    </row>
    <row r="51" spans="1:43" s="2017" customFormat="1" ht="0" hidden="1" customHeight="1">
      <c r="A51" s="1260" t="s">
        <v>306</v>
      </c>
      <c r="B51" s="1260" t="s">
        <v>307</v>
      </c>
      <c r="C51" s="1231"/>
      <c r="D51" s="1231"/>
      <c r="E51" s="3200"/>
      <c r="F51" s="3199"/>
      <c r="G51" s="1231"/>
      <c r="H51" s="1231"/>
      <c r="I51" s="1231"/>
      <c r="J51" s="1231"/>
      <c r="K51" s="1231"/>
      <c r="L51" s="1411"/>
      <c r="M51" s="1238"/>
      <c r="N51" s="1238"/>
      <c r="P51" s="1233"/>
      <c r="Q51" s="1234"/>
      <c r="R51" s="1233"/>
      <c r="S51" s="1239"/>
      <c r="T51" s="1242" t="s">
        <v>181</v>
      </c>
      <c r="U51" s="1241"/>
      <c r="V51" s="1241"/>
      <c r="W51" s="1241"/>
      <c r="X51" s="1241"/>
      <c r="Y51" s="1241"/>
      <c r="Z51" s="1241"/>
      <c r="AA51" s="1241"/>
      <c r="AB51" s="1241"/>
      <c r="AC51" s="1241"/>
      <c r="AD51" s="1241"/>
      <c r="AE51" s="1241"/>
      <c r="AF51" s="1241"/>
      <c r="AG51" s="1241"/>
      <c r="AH51" s="1241"/>
      <c r="AI51" s="1241"/>
      <c r="AJ51" s="1241"/>
      <c r="AK51" s="1241"/>
      <c r="AM51" s="717"/>
      <c r="AN51" s="717" t="str">
        <f t="shared" si="1"/>
        <v>Добавить централизованную систему для дифференциации</v>
      </c>
      <c r="AO51" s="717"/>
      <c r="AP51" s="717"/>
      <c r="AQ51" s="452">
        <v>0</v>
      </c>
    </row>
    <row r="52" spans="1:43" s="2017" customFormat="1" ht="0" hidden="1" customHeight="1">
      <c r="A52" s="1260" t="s">
        <v>306</v>
      </c>
      <c r="B52" s="1260"/>
      <c r="C52" s="1260"/>
      <c r="D52" s="1260"/>
      <c r="E52" s="3199"/>
      <c r="F52" s="1260"/>
      <c r="G52" s="1260"/>
      <c r="H52" s="1260"/>
      <c r="I52" s="1260"/>
      <c r="J52" s="1260"/>
      <c r="K52" s="1260"/>
      <c r="L52" s="1263"/>
      <c r="M52" s="1238"/>
      <c r="N52" s="1238"/>
      <c r="O52" s="452"/>
      <c r="P52" s="314"/>
      <c r="Q52" s="1261"/>
      <c r="R52" s="314"/>
      <c r="S52" s="1239"/>
      <c r="T52" s="1242" t="s">
        <v>188</v>
      </c>
      <c r="U52" s="1241"/>
      <c r="V52" s="1241"/>
      <c r="W52" s="1241"/>
      <c r="X52" s="1241"/>
      <c r="Y52" s="1241"/>
      <c r="Z52" s="1241"/>
      <c r="AA52" s="1241"/>
      <c r="AB52" s="1241"/>
      <c r="AC52" s="1241"/>
      <c r="AD52" s="1241"/>
      <c r="AE52" s="1241"/>
      <c r="AF52" s="1241"/>
      <c r="AG52" s="1241"/>
      <c r="AH52" s="1241"/>
      <c r="AI52" s="1241"/>
      <c r="AJ52" s="1241"/>
      <c r="AK52" s="1241"/>
      <c r="AM52" s="434"/>
      <c r="AN52" s="434" t="str">
        <f t="shared" si="1"/>
        <v>Добавить территорию для дифференциации</v>
      </c>
      <c r="AO52" s="434"/>
      <c r="AP52" s="434"/>
      <c r="AQ52" s="445">
        <v>0</v>
      </c>
    </row>
    <row r="53" spans="1:43" s="2017" customFormat="1" ht="0" hidden="1" customHeight="1">
      <c r="A53" s="1231"/>
      <c r="B53" s="1231"/>
      <c r="C53" s="1231"/>
      <c r="D53" s="1231"/>
      <c r="E53" s="1260"/>
      <c r="F53" s="1231"/>
      <c r="G53" s="1231"/>
      <c r="H53" s="1231"/>
      <c r="I53" s="1231"/>
      <c r="J53" s="1231"/>
      <c r="K53" s="1231"/>
      <c r="L53" s="1411"/>
      <c r="M53" s="1238"/>
      <c r="N53" s="1238"/>
      <c r="P53" s="1233"/>
      <c r="Q53" s="1234"/>
      <c r="R53" s="1233"/>
      <c r="S53" s="1239"/>
      <c r="T53" s="1242" t="s">
        <v>189</v>
      </c>
      <c r="U53" s="1241"/>
      <c r="V53" s="1241"/>
      <c r="W53" s="1241"/>
      <c r="X53" s="1241"/>
      <c r="Y53" s="1241"/>
      <c r="Z53" s="1241"/>
      <c r="AA53" s="1241"/>
      <c r="AB53" s="1241"/>
      <c r="AC53" s="1241"/>
      <c r="AD53" s="1241"/>
      <c r="AE53" s="1241"/>
      <c r="AF53" s="1241"/>
      <c r="AG53" s="1241"/>
      <c r="AH53" s="1241"/>
      <c r="AI53" s="1241"/>
      <c r="AJ53" s="1241"/>
      <c r="AK53" s="1241"/>
      <c r="AM53" s="717"/>
      <c r="AN53" s="717" t="str">
        <f t="shared" si="1"/>
        <v>Добавить наименование тарифа</v>
      </c>
      <c r="AO53" s="717"/>
      <c r="AP53" s="717"/>
      <c r="AQ53" s="452">
        <v>0</v>
      </c>
    </row>
    <row r="54" spans="1:43" ht="11.5" customHeight="1">
      <c r="M54" s="1077"/>
      <c r="N54" s="1077"/>
      <c r="O54" s="471"/>
      <c r="P54" s="1072"/>
      <c r="Q54" s="1072"/>
      <c r="R54" s="1072"/>
      <c r="S54" s="1072"/>
      <c r="AL54" s="1072"/>
      <c r="AM54" s="1072"/>
      <c r="AN54" s="1072"/>
      <c r="AO54" s="1072"/>
      <c r="AP54" s="1072"/>
      <c r="AQ54" s="1072">
        <v>11</v>
      </c>
    </row>
    <row r="55" spans="1:43" ht="14.65" customHeight="1">
      <c r="O55" s="471"/>
      <c r="S55" s="1170"/>
      <c r="T55" s="3219"/>
      <c r="U55" s="3219"/>
      <c r="V55" s="3219"/>
      <c r="W55" s="3219"/>
      <c r="X55" s="3219"/>
      <c r="Y55" s="3219"/>
      <c r="Z55" s="3219"/>
      <c r="AA55" s="3219"/>
      <c r="AB55" s="3219"/>
      <c r="AC55" s="3219"/>
      <c r="AD55" s="3219"/>
      <c r="AE55" s="3219"/>
      <c r="AF55" s="3219"/>
      <c r="AG55" s="3219"/>
      <c r="AH55" s="3219"/>
      <c r="AI55" s="3219"/>
      <c r="AJ55" s="3219"/>
      <c r="AK55" s="3219"/>
      <c r="AQ55" s="1072">
        <v>14</v>
      </c>
    </row>
    <row r="56" spans="1:43" ht="14.65" customHeight="1">
      <c r="O56" s="471"/>
      <c r="AQ56" s="1072">
        <v>14</v>
      </c>
    </row>
    <row r="57" spans="1:43" ht="14.65" customHeight="1">
      <c r="O57" s="471"/>
      <c r="S57" s="1170"/>
      <c r="T57" s="3219"/>
      <c r="U57" s="3219"/>
      <c r="V57" s="3219"/>
      <c r="W57" s="3219"/>
      <c r="X57" s="3219"/>
      <c r="Y57" s="3219"/>
      <c r="Z57" s="3219"/>
      <c r="AA57" s="3219"/>
      <c r="AB57" s="3219"/>
      <c r="AC57" s="3219"/>
      <c r="AD57" s="3219"/>
      <c r="AE57" s="3219"/>
      <c r="AF57" s="3219"/>
      <c r="AG57" s="3219"/>
      <c r="AH57" s="3219"/>
      <c r="AI57" s="3219"/>
      <c r="AJ57" s="3219"/>
      <c r="AK57" s="3219"/>
      <c r="AQ57" s="1072">
        <v>14</v>
      </c>
    </row>
    <row r="58" spans="1:43" ht="22.5" hidden="1" customHeight="1">
      <c r="A58" s="1077" t="s">
        <v>83</v>
      </c>
      <c r="B58" s="1077">
        <v>0</v>
      </c>
      <c r="C58" s="1077">
        <v>0</v>
      </c>
      <c r="D58" s="1077">
        <v>0</v>
      </c>
      <c r="E58" s="1077">
        <v>0</v>
      </c>
      <c r="F58" s="1077">
        <v>0</v>
      </c>
      <c r="G58" s="1077">
        <v>0</v>
      </c>
      <c r="H58" s="1077">
        <v>0</v>
      </c>
      <c r="I58" s="1077">
        <v>0</v>
      </c>
      <c r="J58" s="1077">
        <v>0</v>
      </c>
      <c r="K58" s="1077">
        <v>0</v>
      </c>
      <c r="L58" s="1395">
        <v>0</v>
      </c>
      <c r="M58" s="1279">
        <v>0</v>
      </c>
      <c r="N58" s="1279">
        <v>0</v>
      </c>
      <c r="O58" s="1279">
        <v>0</v>
      </c>
      <c r="P58" s="1390">
        <v>3</v>
      </c>
      <c r="Q58" s="279">
        <v>3</v>
      </c>
      <c r="R58" s="279">
        <v>3</v>
      </c>
      <c r="S58" s="515">
        <v>12</v>
      </c>
      <c r="T58" s="1072">
        <v>35</v>
      </c>
      <c r="U58" s="1072">
        <v>0</v>
      </c>
      <c r="V58" s="1072">
        <v>0</v>
      </c>
      <c r="W58" s="1072">
        <v>0</v>
      </c>
      <c r="X58" s="1072">
        <v>0</v>
      </c>
      <c r="Y58" s="1072">
        <v>0</v>
      </c>
      <c r="Z58" s="1072">
        <v>0</v>
      </c>
      <c r="AA58" s="1072">
        <v>0</v>
      </c>
      <c r="AB58" s="1072">
        <v>0</v>
      </c>
      <c r="AC58" s="1072">
        <v>24</v>
      </c>
      <c r="AD58" s="1072">
        <v>24</v>
      </c>
      <c r="AE58" s="1072">
        <v>24</v>
      </c>
      <c r="AF58" s="1072">
        <v>11</v>
      </c>
      <c r="AG58" s="1072">
        <v>3</v>
      </c>
      <c r="AH58" s="1072">
        <v>11</v>
      </c>
      <c r="AI58" s="1072">
        <v>0</v>
      </c>
      <c r="AJ58" s="1072">
        <v>4</v>
      </c>
      <c r="AK58" s="1072">
        <v>115</v>
      </c>
      <c r="AL58" s="445">
        <v>10</v>
      </c>
      <c r="AM58" s="445">
        <v>10</v>
      </c>
      <c r="AN58" s="445">
        <v>10</v>
      </c>
      <c r="AO58" s="445">
        <v>10</v>
      </c>
      <c r="AP58" s="445">
        <v>10</v>
      </c>
      <c r="AQ58" s="1072">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B00-000000000000}">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B00-000001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xr:uid="{00000000-0002-0000-1B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xr:uid="{00000000-0002-0000-1B00-000003000000}"/>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B00-000004000000}">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xr:uid="{00000000-0002-0000-1B00-000005000000}">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B00-000006000000}">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xr:uid="{00000000-0002-0000-1B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3D91A8-B92A-EF61-14A1-0B9664C8A6DC}">
  <sheetPr>
    <tabColor theme="6" tint="0.39997558519241921"/>
  </sheetPr>
  <dimension ref="A1:BI69"/>
  <sheetViews>
    <sheetView showGridLines="0" topLeftCell="R27" zoomScale="90" workbookViewId="0"/>
  </sheetViews>
  <sheetFormatPr defaultColWidth="10.59765625" defaultRowHeight="14.25" customHeight="1"/>
  <cols>
    <col min="1" max="1" width="11.59765625" style="2016" hidden="1" customWidth="1"/>
    <col min="2" max="2" width="11" style="2016" hidden="1" customWidth="1"/>
    <col min="3" max="3" width="10.59765625" style="2016" hidden="1"/>
    <col min="4" max="4" width="12.796875" style="2016" hidden="1" customWidth="1"/>
    <col min="5" max="5" width="10" style="2016" hidden="1" customWidth="1"/>
    <col min="6" max="6" width="8.69921875" style="2016" hidden="1" customWidth="1"/>
    <col min="7" max="7" width="7.59765625" style="2016" hidden="1" customWidth="1"/>
    <col min="8" max="8" width="11.3984375" style="2016" hidden="1" customWidth="1"/>
    <col min="9" max="9" width="12" style="2016" hidden="1" customWidth="1"/>
    <col min="10" max="10" width="9.796875" style="2016" hidden="1" customWidth="1"/>
    <col min="11" max="11" width="11.3984375" style="2016" hidden="1" customWidth="1"/>
    <col min="12" max="12" width="19.09765625" style="2216" hidden="1" customWidth="1"/>
    <col min="13" max="14" width="12.296875" style="2006" hidden="1" customWidth="1"/>
    <col min="15" max="15" width="23.3984375" style="2006" hidden="1" customWidth="1"/>
    <col min="16" max="16" width="3.69921875" style="2006" hidden="1" customWidth="1"/>
    <col min="17" max="17" width="3.69921875" style="2214" hidden="1" customWidth="1"/>
    <col min="18" max="18" width="3" style="2215" customWidth="1"/>
    <col min="19" max="19" width="12" style="2218" customWidth="1"/>
    <col min="20" max="20" width="31" style="2004" customWidth="1"/>
    <col min="21" max="21" width="9.765625E-2" style="2004" customWidth="1"/>
    <col min="22" max="25" width="21.69921875" style="2004" hidden="1" customWidth="1"/>
    <col min="26" max="26" width="11.69921875" style="2004" hidden="1" customWidth="1"/>
    <col min="27" max="27" width="3.69921875" style="2004" hidden="1" customWidth="1"/>
    <col min="28" max="28" width="11.69921875" style="2004" hidden="1" customWidth="1"/>
    <col min="29" max="29" width="8.59765625" style="2004" hidden="1" customWidth="1"/>
    <col min="30" max="30" width="3.69921875" style="2004" customWidth="1"/>
    <col min="31" max="32" width="3" style="2004" customWidth="1"/>
    <col min="33" max="33" width="24" style="2004" customWidth="1"/>
    <col min="34" max="34" width="3.69921875" style="2004" customWidth="1"/>
    <col min="35" max="36" width="3" style="2004" customWidth="1"/>
    <col min="37" max="37" width="24" style="2004" customWidth="1"/>
    <col min="38" max="38" width="3.69921875" style="2004" customWidth="1"/>
    <col min="39" max="40" width="3" style="2004" customWidth="1"/>
    <col min="41" max="41" width="18" style="2004" customWidth="1"/>
    <col min="42" max="42" width="3.69921875" style="2004" customWidth="1"/>
    <col min="43" max="44" width="3" style="2004" customWidth="1"/>
    <col min="45" max="45" width="18" style="2004" customWidth="1"/>
    <col min="46" max="49" width="21" style="2004" customWidth="1"/>
    <col min="50" max="50" width="11" style="2004" customWidth="1"/>
    <col min="51" max="51" width="3.69921875" style="2004" customWidth="1"/>
    <col min="52" max="52" width="11" style="2004" customWidth="1"/>
    <col min="53" max="53" width="8.59765625" style="2004" hidden="1" customWidth="1"/>
    <col min="54" max="54" width="4" style="2004" customWidth="1"/>
    <col min="55" max="55" width="115" style="2004" customWidth="1"/>
    <col min="56" max="60" width="10" style="2017" customWidth="1"/>
    <col min="61" max="61" width="10.59765625" style="2004" hidden="1"/>
  </cols>
  <sheetData>
    <row r="1" spans="1:61" ht="22.5" hidden="1" customHeight="1">
      <c r="W1" s="262"/>
      <c r="Y1" s="262"/>
      <c r="Z1" s="262"/>
      <c r="AW1" s="262"/>
      <c r="AX1" s="262"/>
      <c r="BI1" s="1072" t="s">
        <v>14</v>
      </c>
    </row>
    <row r="2" spans="1:61" ht="21" hidden="1" customHeight="1">
      <c r="A2" s="1280"/>
      <c r="B2" s="1280"/>
      <c r="C2" s="1280"/>
      <c r="D2" s="1280"/>
      <c r="E2" s="3199">
        <v>1</v>
      </c>
      <c r="F2" s="1280"/>
      <c r="G2" s="1280"/>
      <c r="H2" s="1280"/>
      <c r="I2" s="1280"/>
      <c r="J2" s="1280"/>
      <c r="K2" s="1280"/>
      <c r="L2" s="1281"/>
      <c r="M2" s="1282"/>
      <c r="N2" s="1282"/>
      <c r="O2" s="1282"/>
      <c r="P2" s="1326"/>
      <c r="Q2" s="797"/>
      <c r="R2" s="289"/>
      <c r="S2" s="1410" t="e">
        <f>INDEX(PT_DIFFERENTIATION_NUM_NTAR,MATCH(A2,PT_DIFFERENTIATION_NTAR_ID,0))</f>
        <v>#N/A</v>
      </c>
      <c r="T2" s="233" t="s">
        <v>137</v>
      </c>
      <c r="U2" s="235"/>
      <c r="V2" s="3186"/>
      <c r="W2" s="3186"/>
      <c r="X2" s="3186"/>
      <c r="Y2" s="3186"/>
      <c r="Z2" s="3186"/>
      <c r="AA2" s="3186"/>
      <c r="AB2" s="3186"/>
      <c r="AC2" s="3187"/>
      <c r="AD2" s="3185" t="e">
        <f>INDEX(PT_DIFFERENTIATION_NTAR,MATCH(A2,PT_DIFFERENTIATION_NTAR_ID,0))</f>
        <v>#N/A</v>
      </c>
      <c r="AE2" s="3186"/>
      <c r="AF2" s="3186"/>
      <c r="AG2" s="3186"/>
      <c r="AH2" s="3186"/>
      <c r="AI2" s="3186"/>
      <c r="AJ2" s="3186"/>
      <c r="AK2" s="3186"/>
      <c r="AL2" s="3186"/>
      <c r="AM2" s="3186"/>
      <c r="AN2" s="3186"/>
      <c r="AO2" s="3186"/>
      <c r="AP2" s="3186"/>
      <c r="AQ2" s="3186"/>
      <c r="AR2" s="3186"/>
      <c r="AS2" s="3186"/>
      <c r="AT2" s="3186"/>
      <c r="AU2" s="3186"/>
      <c r="AV2" s="3186"/>
      <c r="AW2" s="3186"/>
      <c r="AX2" s="3186"/>
      <c r="AY2" s="3186"/>
      <c r="AZ2" s="3186"/>
      <c r="BA2" s="3186"/>
      <c r="BB2" s="3187"/>
      <c r="BC2"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4"/>
      <c r="BF2" s="434" t="str">
        <f t="shared" ref="BF2:BF8" si="0">IF(T2="","",T2)</f>
        <v>Наименование тарифа</v>
      </c>
      <c r="BG2" s="434"/>
      <c r="BH2" s="434"/>
      <c r="BI2" s="1072">
        <v>0</v>
      </c>
    </row>
    <row r="3" spans="1:61" ht="21" hidden="1" customHeight="1">
      <c r="A3" s="1280"/>
      <c r="B3" s="1280"/>
      <c r="C3" s="1280"/>
      <c r="D3" s="1280"/>
      <c r="E3" s="3200"/>
      <c r="F3" s="3199">
        <v>1</v>
      </c>
      <c r="G3" s="1280"/>
      <c r="H3" s="1280"/>
      <c r="I3" s="1280"/>
      <c r="J3" s="1280"/>
      <c r="K3" s="1280"/>
      <c r="L3" s="1281"/>
      <c r="M3" s="1282"/>
      <c r="N3" s="1282"/>
      <c r="O3" s="1282"/>
      <c r="P3" s="1327"/>
      <c r="Q3" s="1328"/>
      <c r="R3" s="287"/>
      <c r="S3" s="1410" t="e">
        <f>INDEX(PT_DIFFERENTIATION_NUM_TER,MATCH(B3,PT_DIFFERENTIATION_TER_ID,0))</f>
        <v>#N/A</v>
      </c>
      <c r="T3" s="243" t="s">
        <v>432</v>
      </c>
      <c r="U3" s="235"/>
      <c r="V3" s="3186"/>
      <c r="W3" s="3186"/>
      <c r="X3" s="3186"/>
      <c r="Y3" s="3186"/>
      <c r="Z3" s="3186"/>
      <c r="AA3" s="3186"/>
      <c r="AB3" s="3186"/>
      <c r="AC3" s="3187"/>
      <c r="AD3" s="3185" t="e">
        <f>INDEX(PT_DIFFERENTIATION_TER,MATCH(B3,PT_DIFFERENTIATION_TER_ID,0))</f>
        <v>#N/A</v>
      </c>
      <c r="AE3" s="3186"/>
      <c r="AF3" s="3186"/>
      <c r="AG3" s="3186"/>
      <c r="AH3" s="3186"/>
      <c r="AI3" s="3186"/>
      <c r="AJ3" s="3186"/>
      <c r="AK3" s="3186"/>
      <c r="AL3" s="3186"/>
      <c r="AM3" s="3186"/>
      <c r="AN3" s="3186"/>
      <c r="AO3" s="3186"/>
      <c r="AP3" s="3186"/>
      <c r="AQ3" s="3186"/>
      <c r="AR3" s="3186"/>
      <c r="AS3" s="3186"/>
      <c r="AT3" s="3186"/>
      <c r="AU3" s="3186"/>
      <c r="AV3" s="3186"/>
      <c r="AW3" s="3186"/>
      <c r="AX3" s="3186"/>
      <c r="AY3" s="3186"/>
      <c r="AZ3" s="3186"/>
      <c r="BA3" s="3186"/>
      <c r="BB3" s="3187"/>
      <c r="BC3" s="1175" t="s">
        <v>433</v>
      </c>
      <c r="BE3" s="434"/>
      <c r="BF3" s="434" t="str">
        <f t="shared" si="0"/>
        <v>Территория действия тарифа</v>
      </c>
      <c r="BG3" s="434"/>
      <c r="BH3" s="434"/>
      <c r="BI3" s="1072">
        <v>0</v>
      </c>
    </row>
    <row r="4" spans="1:61" ht="33.75" hidden="1" customHeight="1">
      <c r="A4" s="1280"/>
      <c r="B4" s="1280"/>
      <c r="C4" s="1280"/>
      <c r="D4" s="1280"/>
      <c r="E4" s="3200"/>
      <c r="F4" s="3200"/>
      <c r="G4" s="3199">
        <v>1</v>
      </c>
      <c r="H4" s="1280"/>
      <c r="I4" s="1280"/>
      <c r="J4" s="1280"/>
      <c r="K4" s="1280"/>
      <c r="L4" s="1281"/>
      <c r="M4" s="1282"/>
      <c r="N4" s="1282"/>
      <c r="O4" s="1282"/>
      <c r="P4" s="1329"/>
      <c r="Q4" s="1328"/>
      <c r="R4" s="287"/>
      <c r="S4" s="1410" t="e">
        <f>INDEX(PT_DIFFERENTIATION_NUM_CS,MATCH(C4,PT_DIFFERENTIATION_CS_ID,0))</f>
        <v>#N/A</v>
      </c>
      <c r="T4" s="244" t="s">
        <v>549</v>
      </c>
      <c r="U4" s="235"/>
      <c r="V4" s="3186"/>
      <c r="W4" s="3186"/>
      <c r="X4" s="3186"/>
      <c r="Y4" s="3186"/>
      <c r="Z4" s="3186"/>
      <c r="AA4" s="3186"/>
      <c r="AB4" s="3186"/>
      <c r="AC4" s="3187"/>
      <c r="AD4" s="3185" t="e">
        <f>INDEX(PT_DIFFERENTIATION_CS,MATCH(C4,PT_DIFFERENTIATION_CS_ID,0))</f>
        <v>#N/A</v>
      </c>
      <c r="AE4" s="3186"/>
      <c r="AF4" s="3186"/>
      <c r="AG4" s="3186"/>
      <c r="AH4" s="3186"/>
      <c r="AI4" s="3186"/>
      <c r="AJ4" s="3186"/>
      <c r="AK4" s="3186"/>
      <c r="AL4" s="3186"/>
      <c r="AM4" s="3186"/>
      <c r="AN4" s="3186"/>
      <c r="AO4" s="3186"/>
      <c r="AP4" s="3186"/>
      <c r="AQ4" s="3186"/>
      <c r="AR4" s="3186"/>
      <c r="AS4" s="3186"/>
      <c r="AT4" s="3186"/>
      <c r="AU4" s="3186"/>
      <c r="AV4" s="3186"/>
      <c r="AW4" s="3186"/>
      <c r="AX4" s="3186"/>
      <c r="AY4" s="3186"/>
      <c r="AZ4" s="3186"/>
      <c r="BA4" s="3186"/>
      <c r="BB4" s="3187"/>
      <c r="BC4" s="1175" t="s">
        <v>550</v>
      </c>
      <c r="BE4" s="434"/>
      <c r="BF4" s="434" t="str">
        <f t="shared" si="0"/>
        <v>Наименование централизованной системы водоотведения</v>
      </c>
      <c r="BG4" s="434"/>
      <c r="BH4" s="434"/>
      <c r="BI4" s="1072">
        <v>0</v>
      </c>
    </row>
    <row r="5" spans="1:61" s="2017" customFormat="1" ht="14.25" hidden="1" customHeight="1">
      <c r="A5" s="1260"/>
      <c r="B5" s="1260"/>
      <c r="C5" s="1260"/>
      <c r="D5" s="1260"/>
      <c r="E5" s="3200"/>
      <c r="F5" s="3200"/>
      <c r="G5" s="3200"/>
      <c r="H5" s="3199">
        <v>1</v>
      </c>
      <c r="I5" s="1260"/>
      <c r="J5" s="1260"/>
      <c r="K5" s="1260"/>
      <c r="L5" s="1263"/>
      <c r="M5" s="1232"/>
      <c r="N5" s="1232"/>
      <c r="O5" s="1232"/>
      <c r="P5" s="1414"/>
      <c r="Q5" s="1415"/>
      <c r="R5" s="291"/>
      <c r="S5" s="963"/>
      <c r="T5" s="1416"/>
      <c r="U5" s="1301"/>
      <c r="V5" s="3229"/>
      <c r="W5" s="3229"/>
      <c r="X5" s="3229"/>
      <c r="Y5" s="3229"/>
      <c r="Z5" s="3229"/>
      <c r="AA5" s="3229"/>
      <c r="AB5" s="3229"/>
      <c r="AC5" s="3230"/>
      <c r="AD5" s="3228"/>
      <c r="AE5" s="3229"/>
      <c r="AF5" s="3229"/>
      <c r="AG5" s="3229"/>
      <c r="AH5" s="3229"/>
      <c r="AI5" s="3229"/>
      <c r="AJ5" s="3229"/>
      <c r="AK5" s="3229"/>
      <c r="AL5" s="3229"/>
      <c r="AM5" s="3229"/>
      <c r="AN5" s="3229"/>
      <c r="AO5" s="3229"/>
      <c r="AP5" s="3229"/>
      <c r="AQ5" s="3229"/>
      <c r="AR5" s="3229"/>
      <c r="AS5" s="3229"/>
      <c r="AT5" s="3229"/>
      <c r="AU5" s="3229"/>
      <c r="AV5" s="3229"/>
      <c r="AW5" s="3229"/>
      <c r="AX5" s="3229"/>
      <c r="AY5" s="3229"/>
      <c r="AZ5" s="3229"/>
      <c r="BA5" s="3229"/>
      <c r="BB5" s="3230"/>
      <c r="BC5" s="1302" t="s">
        <v>437</v>
      </c>
      <c r="BE5" s="434"/>
      <c r="BF5" s="434" t="str">
        <f t="shared" si="0"/>
        <v/>
      </c>
      <c r="BG5" s="434"/>
      <c r="BH5" s="434"/>
      <c r="BI5" s="445">
        <v>0</v>
      </c>
    </row>
    <row r="6" spans="1:61" s="2017" customFormat="1" ht="14.25" hidden="1" customHeight="1">
      <c r="A6" s="1260"/>
      <c r="B6" s="1260"/>
      <c r="C6" s="1260"/>
      <c r="D6" s="1260"/>
      <c r="E6" s="3200"/>
      <c r="F6" s="3200"/>
      <c r="G6" s="3200"/>
      <c r="H6" s="3200"/>
      <c r="I6" s="3197" t="str">
        <f>S5&amp;".1"</f>
        <v>.1</v>
      </c>
      <c r="J6" s="1260"/>
      <c r="K6" s="1260"/>
      <c r="L6" s="1263" t="s">
        <v>438</v>
      </c>
      <c r="M6" s="444"/>
      <c r="N6" s="444"/>
      <c r="O6" s="444"/>
      <c r="P6" s="3198">
        <v>1</v>
      </c>
      <c r="Q6" s="1398"/>
      <c r="R6" s="290"/>
      <c r="S6" s="963"/>
      <c r="T6" s="1300"/>
      <c r="U6" s="1301"/>
      <c r="V6" s="3229"/>
      <c r="W6" s="3229"/>
      <c r="X6" s="3229"/>
      <c r="Y6" s="3229"/>
      <c r="Z6" s="3229"/>
      <c r="AA6" s="3229"/>
      <c r="AB6" s="3229"/>
      <c r="AC6" s="3230"/>
      <c r="AD6" s="3228"/>
      <c r="AE6" s="3229"/>
      <c r="AF6" s="3229"/>
      <c r="AG6" s="3229"/>
      <c r="AH6" s="3229"/>
      <c r="AI6" s="3229"/>
      <c r="AJ6" s="3229"/>
      <c r="AK6" s="3229"/>
      <c r="AL6" s="3229"/>
      <c r="AM6" s="3229"/>
      <c r="AN6" s="3229"/>
      <c r="AO6" s="3229"/>
      <c r="AP6" s="3229"/>
      <c r="AQ6" s="3229"/>
      <c r="AR6" s="3229"/>
      <c r="AS6" s="3229"/>
      <c r="AT6" s="3229"/>
      <c r="AU6" s="3229"/>
      <c r="AV6" s="3229"/>
      <c r="AW6" s="3229"/>
      <c r="AX6" s="3229"/>
      <c r="AY6" s="3229"/>
      <c r="AZ6" s="3229"/>
      <c r="BA6" s="3229"/>
      <c r="BB6" s="3230"/>
      <c r="BC6" s="1302"/>
      <c r="BE6" s="434"/>
      <c r="BF6" s="434" t="str">
        <f t="shared" si="0"/>
        <v/>
      </c>
      <c r="BG6" s="434"/>
      <c r="BH6" s="434"/>
      <c r="BI6" s="445">
        <v>0</v>
      </c>
    </row>
    <row r="7" spans="1:61" s="2017" customFormat="1" ht="14.25" hidden="1" customHeight="1">
      <c r="A7" s="1260"/>
      <c r="B7" s="1260"/>
      <c r="C7" s="1260"/>
      <c r="D7" s="1260"/>
      <c r="E7" s="3200"/>
      <c r="F7" s="3200"/>
      <c r="G7" s="3200"/>
      <c r="H7" s="3200"/>
      <c r="I7" s="3220"/>
      <c r="J7" s="3197" t="str">
        <f>S5&amp;".1"</f>
        <v>.1</v>
      </c>
      <c r="K7" s="1260"/>
      <c r="L7" s="1263"/>
      <c r="M7" s="444"/>
      <c r="N7" s="444"/>
      <c r="O7" s="444"/>
      <c r="P7" s="3198"/>
      <c r="Q7" s="3198">
        <v>1</v>
      </c>
      <c r="R7" s="291"/>
      <c r="S7" s="963"/>
      <c r="T7" s="1316"/>
      <c r="U7" s="1301"/>
      <c r="V7" s="3229"/>
      <c r="W7" s="3229"/>
      <c r="X7" s="3229"/>
      <c r="Y7" s="3229"/>
      <c r="Z7" s="3229"/>
      <c r="AA7" s="3229"/>
      <c r="AB7" s="3229"/>
      <c r="AC7" s="3230"/>
      <c r="AD7" s="3228"/>
      <c r="AE7" s="3229"/>
      <c r="AF7" s="3229"/>
      <c r="AG7" s="3229"/>
      <c r="AH7" s="3229"/>
      <c r="AI7" s="3229"/>
      <c r="AJ7" s="3229"/>
      <c r="AK7" s="3229"/>
      <c r="AL7" s="3229"/>
      <c r="AM7" s="3229"/>
      <c r="AN7" s="3229"/>
      <c r="AO7" s="3229"/>
      <c r="AP7" s="3229"/>
      <c r="AQ7" s="3229"/>
      <c r="AR7" s="3229"/>
      <c r="AS7" s="3229"/>
      <c r="AT7" s="3229"/>
      <c r="AU7" s="3229"/>
      <c r="AV7" s="3229"/>
      <c r="AW7" s="3229"/>
      <c r="AX7" s="3229"/>
      <c r="AY7" s="3229"/>
      <c r="AZ7" s="3229"/>
      <c r="BA7" s="3229"/>
      <c r="BB7" s="3230"/>
      <c r="BC7" s="1302"/>
      <c r="BE7" s="434"/>
      <c r="BF7" s="434" t="str">
        <f t="shared" si="0"/>
        <v/>
      </c>
      <c r="BG7" s="434"/>
      <c r="BH7" s="434"/>
      <c r="BI7" s="445">
        <v>0</v>
      </c>
    </row>
    <row r="8" spans="1:61" ht="11.25" hidden="1" customHeight="1">
      <c r="A8" s="1280"/>
      <c r="B8" s="1280"/>
      <c r="C8" s="1280"/>
      <c r="D8" s="1280"/>
      <c r="E8" s="3200"/>
      <c r="F8" s="3200"/>
      <c r="G8" s="3200"/>
      <c r="H8" s="3200"/>
      <c r="I8" s="3220"/>
      <c r="J8" s="3220"/>
      <c r="K8" s="3197" t="e">
        <f>S4&amp;".1"</f>
        <v>#N/A</v>
      </c>
      <c r="L8" s="1281"/>
      <c r="P8" s="3198"/>
      <c r="Q8" s="3198"/>
      <c r="R8" s="3263">
        <v>1</v>
      </c>
      <c r="S8" s="3257" t="e">
        <f>$K8</f>
        <v>#N/A</v>
      </c>
      <c r="T8" s="3276"/>
      <c r="U8" s="235"/>
      <c r="V8" s="685"/>
      <c r="W8" s="1174"/>
      <c r="X8" s="685"/>
      <c r="Y8" s="1174"/>
      <c r="Z8" s="1650"/>
      <c r="AA8" s="1386" t="s">
        <v>67</v>
      </c>
      <c r="AB8" s="1650"/>
      <c r="AC8" s="1386" t="s">
        <v>67</v>
      </c>
      <c r="AD8" s="3078" t="s">
        <v>67</v>
      </c>
      <c r="AE8" s="3242"/>
      <c r="AF8" s="3155">
        <v>1</v>
      </c>
      <c r="AG8" s="3279"/>
      <c r="AH8" s="3048" t="s">
        <v>67</v>
      </c>
      <c r="AI8" s="3242"/>
      <c r="AJ8" s="3155">
        <v>1</v>
      </c>
      <c r="AK8" s="3243" t="s">
        <v>28</v>
      </c>
      <c r="AL8" s="3048" t="s">
        <v>67</v>
      </c>
      <c r="AM8" s="3145"/>
      <c r="AN8" s="3155">
        <v>1</v>
      </c>
      <c r="AO8" s="3273"/>
      <c r="AP8" s="3274" t="s">
        <v>67</v>
      </c>
      <c r="AQ8" s="246"/>
      <c r="AR8" s="1403">
        <v>1</v>
      </c>
      <c r="AS8" s="1409" t="s">
        <v>28</v>
      </c>
      <c r="AT8" s="685"/>
      <c r="AU8" s="1174"/>
      <c r="AV8" s="685"/>
      <c r="AW8" s="1174"/>
      <c r="AX8" s="1650"/>
      <c r="AY8" s="1386" t="s">
        <v>67</v>
      </c>
      <c r="AZ8" s="1650"/>
      <c r="BA8" s="1386" t="s">
        <v>67</v>
      </c>
      <c r="BB8" s="1265"/>
      <c r="BC8" s="3194" t="s">
        <v>534</v>
      </c>
      <c r="BE8" s="434"/>
      <c r="BF8" s="434" t="str">
        <f t="shared" si="0"/>
        <v/>
      </c>
      <c r="BG8" s="434"/>
      <c r="BH8" s="434"/>
      <c r="BI8" s="1072">
        <v>0</v>
      </c>
    </row>
    <row r="9" spans="1:61" ht="11.25" hidden="1" customHeight="1">
      <c r="A9" s="1280"/>
      <c r="B9" s="1280"/>
      <c r="C9" s="1280"/>
      <c r="D9" s="1280"/>
      <c r="E9" s="3200"/>
      <c r="F9" s="3200"/>
      <c r="G9" s="3200"/>
      <c r="H9" s="3200"/>
      <c r="I9" s="3220"/>
      <c r="J9" s="3220"/>
      <c r="K9" s="3197"/>
      <c r="L9" s="1281"/>
      <c r="P9" s="3198"/>
      <c r="Q9" s="3198"/>
      <c r="R9" s="3263"/>
      <c r="S9" s="3258"/>
      <c r="T9" s="3277"/>
      <c r="U9" s="235"/>
      <c r="V9" s="1310"/>
      <c r="W9" s="1413"/>
      <c r="X9" s="1310"/>
      <c r="Y9" s="1413"/>
      <c r="Z9" s="1310"/>
      <c r="AA9" s="1310"/>
      <c r="AB9" s="1310"/>
      <c r="AC9" s="1310"/>
      <c r="AD9" s="3079"/>
      <c r="AE9" s="3242"/>
      <c r="AF9" s="3155"/>
      <c r="AG9" s="3279"/>
      <c r="AH9" s="3048"/>
      <c r="AI9" s="3242"/>
      <c r="AJ9" s="3155"/>
      <c r="AK9" s="3243"/>
      <c r="AL9" s="3048"/>
      <c r="AM9" s="3150"/>
      <c r="AN9" s="3155"/>
      <c r="AO9" s="3273"/>
      <c r="AP9" s="3275"/>
      <c r="AQ9" s="251"/>
      <c r="AR9" s="350"/>
      <c r="AS9" s="350" t="s">
        <v>535</v>
      </c>
      <c r="AT9" s="1310"/>
      <c r="AU9" s="1413"/>
      <c r="AV9" s="1310"/>
      <c r="AW9" s="1413"/>
      <c r="AX9" s="1310"/>
      <c r="AY9" s="1310"/>
      <c r="AZ9" s="1310"/>
      <c r="BA9" s="1310"/>
      <c r="BB9" s="1314"/>
      <c r="BC9" s="3195"/>
      <c r="BE9" s="434"/>
      <c r="BF9" s="434"/>
      <c r="BG9" s="434"/>
      <c r="BH9" s="434"/>
      <c r="BI9" s="1072">
        <v>0</v>
      </c>
    </row>
    <row r="10" spans="1:61" ht="11.25" hidden="1" customHeight="1">
      <c r="A10" s="1280"/>
      <c r="B10" s="1280"/>
      <c r="C10" s="1280"/>
      <c r="D10" s="1280"/>
      <c r="E10" s="3200"/>
      <c r="F10" s="3200"/>
      <c r="G10" s="3200"/>
      <c r="H10" s="3200"/>
      <c r="I10" s="3220"/>
      <c r="J10" s="3220"/>
      <c r="K10" s="3197"/>
      <c r="L10" s="1281"/>
      <c r="P10" s="3198"/>
      <c r="Q10" s="3198"/>
      <c r="R10" s="3263"/>
      <c r="S10" s="3258"/>
      <c r="T10" s="3277"/>
      <c r="U10" s="235"/>
      <c r="V10" s="1310"/>
      <c r="W10" s="1413"/>
      <c r="X10" s="1310"/>
      <c r="Y10" s="1413"/>
      <c r="Z10" s="1310"/>
      <c r="AA10" s="1310"/>
      <c r="AB10" s="1310"/>
      <c r="AC10" s="1310"/>
      <c r="AD10" s="3079"/>
      <c r="AE10" s="3242"/>
      <c r="AF10" s="3155"/>
      <c r="AG10" s="3279"/>
      <c r="AH10" s="3048"/>
      <c r="AI10" s="3242"/>
      <c r="AJ10" s="3155"/>
      <c r="AK10" s="3243"/>
      <c r="AL10" s="3048"/>
      <c r="AM10" s="251"/>
      <c r="AN10" s="1417"/>
      <c r="AO10" s="1417" t="s">
        <v>555</v>
      </c>
      <c r="AP10" s="350"/>
      <c r="AQ10" s="350"/>
      <c r="AR10" s="350"/>
      <c r="AS10" s="1310"/>
      <c r="AT10" s="1310"/>
      <c r="AU10" s="1413"/>
      <c r="AV10" s="1310"/>
      <c r="AW10" s="1413"/>
      <c r="AX10" s="1310"/>
      <c r="AY10" s="1310"/>
      <c r="AZ10" s="1310"/>
      <c r="BA10" s="1310"/>
      <c r="BB10" s="1314"/>
      <c r="BC10" s="3195"/>
      <c r="BE10" s="434"/>
      <c r="BF10" s="434"/>
      <c r="BG10" s="434"/>
      <c r="BH10" s="434"/>
      <c r="BI10" s="1072">
        <v>0</v>
      </c>
    </row>
    <row r="11" spans="1:61" ht="11.25" hidden="1" customHeight="1">
      <c r="A11" s="1280"/>
      <c r="B11" s="1280"/>
      <c r="C11" s="1280"/>
      <c r="D11" s="1280"/>
      <c r="E11" s="3200"/>
      <c r="F11" s="3200"/>
      <c r="G11" s="3200"/>
      <c r="H11" s="3200"/>
      <c r="I11" s="3220"/>
      <c r="J11" s="3220"/>
      <c r="K11" s="3197"/>
      <c r="L11" s="1281"/>
      <c r="P11" s="3198"/>
      <c r="Q11" s="3198"/>
      <c r="R11" s="3263"/>
      <c r="S11" s="3258"/>
      <c r="T11" s="3277"/>
      <c r="U11" s="235"/>
      <c r="V11" s="1310"/>
      <c r="W11" s="1413"/>
      <c r="X11" s="1310"/>
      <c r="Y11" s="1413"/>
      <c r="Z11" s="1310"/>
      <c r="AA11" s="1310"/>
      <c r="AB11" s="1310"/>
      <c r="AC11" s="1310"/>
      <c r="AD11" s="3079"/>
      <c r="AE11" s="3242"/>
      <c r="AF11" s="3155"/>
      <c r="AG11" s="3279"/>
      <c r="AH11" s="3048"/>
      <c r="AI11" s="229"/>
      <c r="AJ11" s="349"/>
      <c r="AK11" s="248" t="s">
        <v>556</v>
      </c>
      <c r="AL11" s="1310"/>
      <c r="AM11" s="1310"/>
      <c r="AN11" s="1310"/>
      <c r="AO11" s="1310"/>
      <c r="AP11" s="1310"/>
      <c r="AQ11" s="1310"/>
      <c r="AR11" s="1310"/>
      <c r="AS11" s="1310"/>
      <c r="AT11" s="1310"/>
      <c r="AU11" s="1413"/>
      <c r="AV11" s="1310"/>
      <c r="AW11" s="1413"/>
      <c r="AX11" s="1310"/>
      <c r="AY11" s="1310"/>
      <c r="AZ11" s="1310"/>
      <c r="BA11" s="1310"/>
      <c r="BB11" s="1314"/>
      <c r="BC11" s="3195"/>
      <c r="BE11" s="434"/>
      <c r="BF11" s="434"/>
      <c r="BG11" s="434"/>
      <c r="BH11" s="434"/>
      <c r="BI11" s="1072">
        <v>0</v>
      </c>
    </row>
    <row r="12" spans="1:61" ht="11.25" hidden="1" customHeight="1">
      <c r="A12" s="1280"/>
      <c r="B12" s="1280"/>
      <c r="C12" s="1280"/>
      <c r="D12" s="1280"/>
      <c r="E12" s="3200"/>
      <c r="F12" s="3200"/>
      <c r="G12" s="3200"/>
      <c r="H12" s="3200"/>
      <c r="I12" s="3220"/>
      <c r="J12" s="3220"/>
      <c r="K12" s="3197"/>
      <c r="L12" s="1281"/>
      <c r="P12" s="3198"/>
      <c r="Q12" s="3198"/>
      <c r="R12" s="3263"/>
      <c r="S12" s="3259"/>
      <c r="T12" s="3278"/>
      <c r="U12" s="235"/>
      <c r="V12" s="1310"/>
      <c r="W12" s="1311" t="str">
        <f>Z8&amp;"-"&amp;AB8</f>
        <v>-</v>
      </c>
      <c r="X12" s="1310"/>
      <c r="Y12" s="1311" t="str">
        <f>AB8&amp;"-"&amp;AD8</f>
        <v>-да</v>
      </c>
      <c r="Z12" s="1310"/>
      <c r="AA12" s="1310"/>
      <c r="AB12" s="1310"/>
      <c r="AC12" s="1310"/>
      <c r="AD12" s="3053"/>
      <c r="AE12" s="247"/>
      <c r="AF12" s="249"/>
      <c r="AG12" s="350" t="s">
        <v>538</v>
      </c>
      <c r="AH12" s="1310"/>
      <c r="AI12" s="1310"/>
      <c r="AJ12" s="1310"/>
      <c r="AK12" s="1310"/>
      <c r="AL12" s="1310"/>
      <c r="AM12" s="1310"/>
      <c r="AN12" s="1310"/>
      <c r="AO12" s="1310"/>
      <c r="AP12" s="1310"/>
      <c r="AQ12" s="1310"/>
      <c r="AR12" s="1310"/>
      <c r="AS12" s="1310"/>
      <c r="AT12" s="1310"/>
      <c r="AU12" s="1311" t="str">
        <f>AX8&amp;"-"&amp;AZ8</f>
        <v>-</v>
      </c>
      <c r="AV12" s="1310"/>
      <c r="AW12" s="1311" t="str">
        <f>AZ8&amp;"-"&amp;BB8</f>
        <v>-</v>
      </c>
      <c r="AX12" s="1310"/>
      <c r="AY12" s="1310"/>
      <c r="AZ12" s="1310"/>
      <c r="BA12" s="1310"/>
      <c r="BB12" s="1313" t="str">
        <f>BE8&amp;"-"&amp;BG8</f>
        <v>-</v>
      </c>
      <c r="BC12" s="3195"/>
      <c r="BE12" s="434"/>
      <c r="BF12" s="434" t="str">
        <f t="shared" ref="BF12:BF18" si="1">IF(T12="","",T12)</f>
        <v/>
      </c>
      <c r="BG12" s="434"/>
      <c r="BH12" s="434"/>
      <c r="BI12" s="1072">
        <v>0</v>
      </c>
    </row>
    <row r="13" spans="1:61" ht="11.25" hidden="1" customHeight="1">
      <c r="A13" s="1280"/>
      <c r="B13" s="1280"/>
      <c r="C13" s="1280"/>
      <c r="D13" s="1280"/>
      <c r="E13" s="3200"/>
      <c r="F13" s="3200"/>
      <c r="G13" s="3200"/>
      <c r="H13" s="3200"/>
      <c r="I13" s="3220"/>
      <c r="J13" s="3197"/>
      <c r="K13" s="1280"/>
      <c r="L13" s="1281"/>
      <c r="P13" s="3198"/>
      <c r="Q13" s="3198"/>
      <c r="R13" s="290"/>
      <c r="S13" s="1195"/>
      <c r="T13" s="222" t="s">
        <v>501</v>
      </c>
      <c r="U13" s="301"/>
      <c r="V13" s="301"/>
      <c r="W13" s="301"/>
      <c r="X13" s="301"/>
      <c r="Y13" s="301"/>
      <c r="Z13" s="301"/>
      <c r="AA13" s="301"/>
      <c r="AB13" s="301"/>
      <c r="AC13" s="301"/>
      <c r="AD13" s="1422"/>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259"/>
      <c r="BC13" s="3196"/>
      <c r="BE13" s="434"/>
      <c r="BF13" s="434" t="str">
        <f t="shared" si="1"/>
        <v>Добавить строку</v>
      </c>
      <c r="BG13" s="434"/>
      <c r="BH13" s="434"/>
      <c r="BI13" s="1072">
        <v>0</v>
      </c>
    </row>
    <row r="14" spans="1:61" s="2017" customFormat="1" ht="14.25" hidden="1" customHeight="1">
      <c r="A14" s="1260"/>
      <c r="B14" s="1260"/>
      <c r="C14" s="1260"/>
      <c r="D14" s="1260"/>
      <c r="E14" s="3200"/>
      <c r="F14" s="3200"/>
      <c r="G14" s="3200"/>
      <c r="H14" s="3200"/>
      <c r="I14" s="3197"/>
      <c r="J14" s="1260"/>
      <c r="K14" s="1260"/>
      <c r="L14" s="1263"/>
      <c r="M14" s="444"/>
      <c r="N14" s="444"/>
      <c r="O14" s="444"/>
      <c r="P14" s="3198"/>
      <c r="Q14" s="1398"/>
      <c r="R14" s="290"/>
      <c r="S14" s="1303"/>
      <c r="T14" s="1304"/>
      <c r="U14" s="1305"/>
      <c r="V14" s="1305"/>
      <c r="W14" s="1305"/>
      <c r="X14" s="1305"/>
      <c r="Y14" s="1305"/>
      <c r="Z14" s="1305"/>
      <c r="AA14" s="1305"/>
      <c r="AB14" s="1305"/>
      <c r="AC14" s="1305"/>
      <c r="AD14" s="1305"/>
      <c r="AE14" s="1305"/>
      <c r="AF14" s="1305"/>
      <c r="AG14" s="1305"/>
      <c r="AH14" s="1305"/>
      <c r="AI14" s="1305"/>
      <c r="AJ14" s="1305"/>
      <c r="AK14" s="1305"/>
      <c r="AL14" s="1305"/>
      <c r="AM14" s="1305"/>
      <c r="AN14" s="1305"/>
      <c r="AO14" s="1305"/>
      <c r="AP14" s="1305"/>
      <c r="AQ14" s="1305"/>
      <c r="AR14" s="1305"/>
      <c r="AS14" s="1305"/>
      <c r="AT14" s="1305"/>
      <c r="AU14" s="1305"/>
      <c r="AV14" s="1305"/>
      <c r="AW14" s="1305"/>
      <c r="AX14" s="1305"/>
      <c r="AY14" s="1305"/>
      <c r="AZ14" s="1305"/>
      <c r="BA14" s="1305"/>
      <c r="BB14" s="1305"/>
      <c r="BC14" s="1306"/>
      <c r="BE14" s="434"/>
      <c r="BF14" s="434" t="str">
        <f t="shared" si="1"/>
        <v/>
      </c>
      <c r="BG14" s="434"/>
      <c r="BH14" s="434"/>
      <c r="BI14" s="445">
        <v>0</v>
      </c>
    </row>
    <row r="15" spans="1:61" s="2017" customFormat="1" ht="14.25" hidden="1" customHeight="1">
      <c r="A15" s="1260"/>
      <c r="B15" s="1260"/>
      <c r="C15" s="1260"/>
      <c r="D15" s="1260"/>
      <c r="E15" s="3200"/>
      <c r="F15" s="3200"/>
      <c r="G15" s="3200"/>
      <c r="H15" s="3199"/>
      <c r="I15" s="1260"/>
      <c r="J15" s="1260"/>
      <c r="K15" s="1260"/>
      <c r="L15" s="1263"/>
      <c r="M15" s="1232"/>
      <c r="N15" s="1232"/>
      <c r="O15" s="452"/>
      <c r="P15" s="314"/>
      <c r="Q15" s="1261"/>
      <c r="R15" s="1318"/>
      <c r="S15" s="1303"/>
      <c r="T15" s="1304"/>
      <c r="U15" s="1305"/>
      <c r="V15" s="1305"/>
      <c r="W15" s="1305"/>
      <c r="X15" s="1305"/>
      <c r="Y15" s="1305"/>
      <c r="Z15" s="1305"/>
      <c r="AA15" s="1305"/>
      <c r="AB15" s="1305"/>
      <c r="AC15" s="1305"/>
      <c r="AD15" s="1305"/>
      <c r="AE15" s="1305"/>
      <c r="AF15" s="1305"/>
      <c r="AG15" s="1305"/>
      <c r="AH15" s="1305"/>
      <c r="AI15" s="1305"/>
      <c r="AJ15" s="1305"/>
      <c r="AK15" s="1305"/>
      <c r="AL15" s="1305"/>
      <c r="AM15" s="1305"/>
      <c r="AN15" s="1305"/>
      <c r="AO15" s="1305"/>
      <c r="AP15" s="1305"/>
      <c r="AQ15" s="1305"/>
      <c r="AR15" s="1305"/>
      <c r="AS15" s="1305"/>
      <c r="AT15" s="1305"/>
      <c r="AU15" s="1305"/>
      <c r="AV15" s="1305"/>
      <c r="AW15" s="1305"/>
      <c r="AX15" s="1305"/>
      <c r="AY15" s="1305"/>
      <c r="AZ15" s="1305"/>
      <c r="BA15" s="1305"/>
      <c r="BB15" s="1305"/>
      <c r="BC15" s="1306"/>
      <c r="BE15" s="434"/>
      <c r="BF15" s="434" t="str">
        <f t="shared" si="1"/>
        <v/>
      </c>
      <c r="BG15" s="434"/>
      <c r="BH15" s="434"/>
      <c r="BI15" s="445">
        <v>0</v>
      </c>
    </row>
    <row r="16" spans="1:61" s="2017" customFormat="1" ht="14.25" hidden="1" customHeight="1">
      <c r="A16" s="1260"/>
      <c r="B16" s="1260"/>
      <c r="C16" s="1260"/>
      <c r="D16" s="1231"/>
      <c r="E16" s="3200"/>
      <c r="F16" s="3200"/>
      <c r="G16" s="3199"/>
      <c r="H16" s="1231"/>
      <c r="I16" s="1231"/>
      <c r="J16" s="1231"/>
      <c r="K16" s="1231"/>
      <c r="L16" s="1411"/>
      <c r="M16" s="1232"/>
      <c r="N16" s="1232"/>
      <c r="P16" s="1233"/>
      <c r="Q16" s="1234"/>
      <c r="R16" s="1233"/>
      <c r="S16" s="1239"/>
      <c r="T16" s="1242"/>
      <c r="U16" s="1241"/>
      <c r="V16" s="1241"/>
      <c r="W16" s="1241"/>
      <c r="X16" s="1241"/>
      <c r="Y16" s="1241"/>
      <c r="Z16" s="1241"/>
      <c r="AA16" s="1241"/>
      <c r="AB16" s="1241"/>
      <c r="AC16" s="1241"/>
      <c r="AD16" s="1241"/>
      <c r="AE16" s="1241"/>
      <c r="AF16" s="1241"/>
      <c r="AG16" s="1241"/>
      <c r="AH16" s="1241"/>
      <c r="AI16" s="1241"/>
      <c r="AJ16" s="1241"/>
      <c r="AK16" s="1241"/>
      <c r="AL16" s="1241"/>
      <c r="AM16" s="1241"/>
      <c r="AN16" s="1241"/>
      <c r="AO16" s="1241"/>
      <c r="AP16" s="1241"/>
      <c r="AQ16" s="1241"/>
      <c r="AR16" s="1241"/>
      <c r="AS16" s="1241"/>
      <c r="AT16" s="1241"/>
      <c r="AU16" s="1241"/>
      <c r="AV16" s="1241"/>
      <c r="AW16" s="1241"/>
      <c r="AX16" s="1241"/>
      <c r="AY16" s="1241"/>
      <c r="AZ16" s="1241"/>
      <c r="BA16" s="1241"/>
      <c r="BB16" s="1241"/>
      <c r="BC16" s="1241"/>
      <c r="BE16" s="717"/>
      <c r="BF16" s="717" t="str">
        <f t="shared" si="1"/>
        <v/>
      </c>
      <c r="BG16" s="717"/>
      <c r="BH16" s="717"/>
      <c r="BI16" s="452">
        <v>0</v>
      </c>
    </row>
    <row r="17" spans="1:61" s="2017" customFormat="1" ht="14.25" hidden="1" customHeight="1">
      <c r="A17" s="1260"/>
      <c r="B17" s="1260"/>
      <c r="C17" s="1231"/>
      <c r="D17" s="1231"/>
      <c r="E17" s="3200"/>
      <c r="F17" s="3199"/>
      <c r="G17" s="1231"/>
      <c r="H17" s="1231"/>
      <c r="I17" s="1231"/>
      <c r="J17" s="1231"/>
      <c r="K17" s="1231"/>
      <c r="L17" s="1411"/>
      <c r="M17" s="1238"/>
      <c r="N17" s="1238"/>
      <c r="P17" s="1233"/>
      <c r="Q17" s="1234"/>
      <c r="R17" s="1233"/>
      <c r="S17" s="1239"/>
      <c r="T17" s="1242" t="s">
        <v>181</v>
      </c>
      <c r="U17" s="1241"/>
      <c r="V17" s="1241"/>
      <c r="W17" s="1241"/>
      <c r="X17" s="1241"/>
      <c r="Y17" s="1241"/>
      <c r="Z17" s="1241"/>
      <c r="AA17" s="1241"/>
      <c r="AB17" s="1241"/>
      <c r="AC17" s="1241"/>
      <c r="AD17" s="1241"/>
      <c r="AE17" s="1241"/>
      <c r="AF17" s="1241"/>
      <c r="AG17" s="1241"/>
      <c r="AH17" s="1241"/>
      <c r="AI17" s="1241"/>
      <c r="AJ17" s="1241"/>
      <c r="AK17" s="1241"/>
      <c r="AL17" s="1241"/>
      <c r="AM17" s="1241"/>
      <c r="AN17" s="1241"/>
      <c r="AO17" s="1241"/>
      <c r="AP17" s="1241"/>
      <c r="AQ17" s="1241"/>
      <c r="AR17" s="1241"/>
      <c r="AS17" s="1241"/>
      <c r="AT17" s="1241"/>
      <c r="AU17" s="1241"/>
      <c r="AV17" s="1241"/>
      <c r="AW17" s="1241"/>
      <c r="AX17" s="1241"/>
      <c r="AY17" s="1241"/>
      <c r="AZ17" s="1241"/>
      <c r="BA17" s="1241"/>
      <c r="BB17" s="1241"/>
      <c r="BC17" s="1241"/>
      <c r="BE17" s="717"/>
      <c r="BF17" s="717" t="str">
        <f t="shared" si="1"/>
        <v>Добавить централизованную систему для дифференциации</v>
      </c>
      <c r="BG17" s="717"/>
      <c r="BH17" s="717"/>
      <c r="BI17" s="452">
        <v>0</v>
      </c>
    </row>
    <row r="18" spans="1:61" s="2017" customFormat="1" ht="14.25" hidden="1" customHeight="1">
      <c r="A18" s="1260"/>
      <c r="B18" s="1260"/>
      <c r="C18" s="1260"/>
      <c r="D18" s="1260"/>
      <c r="E18" s="3199"/>
      <c r="F18" s="1260"/>
      <c r="G18" s="1260"/>
      <c r="H18" s="1260"/>
      <c r="I18" s="1260"/>
      <c r="J18" s="1260"/>
      <c r="K18" s="1260"/>
      <c r="L18" s="1263"/>
      <c r="M18" s="1238"/>
      <c r="N18" s="1238"/>
      <c r="O18" s="452"/>
      <c r="P18" s="314"/>
      <c r="Q18" s="1261"/>
      <c r="R18" s="314"/>
      <c r="S18" s="1239"/>
      <c r="T18" s="1242" t="s">
        <v>188</v>
      </c>
      <c r="U18" s="1241"/>
      <c r="V18" s="1241"/>
      <c r="W18" s="1241"/>
      <c r="X18" s="1241"/>
      <c r="Y18" s="1241"/>
      <c r="Z18" s="1241"/>
      <c r="AA18" s="1241"/>
      <c r="AB18" s="1241"/>
      <c r="AC18" s="1241"/>
      <c r="AD18" s="1241"/>
      <c r="AE18" s="1241"/>
      <c r="AF18" s="1241"/>
      <c r="AG18" s="1241"/>
      <c r="AH18" s="1241"/>
      <c r="AI18" s="1241"/>
      <c r="AJ18" s="1241"/>
      <c r="AK18" s="1241"/>
      <c r="AL18" s="1241"/>
      <c r="AM18" s="1241"/>
      <c r="AN18" s="1241"/>
      <c r="AO18" s="1241"/>
      <c r="AP18" s="1241"/>
      <c r="AQ18" s="1241"/>
      <c r="AR18" s="1241"/>
      <c r="AS18" s="1241"/>
      <c r="AT18" s="1241"/>
      <c r="AU18" s="1241"/>
      <c r="AV18" s="1241"/>
      <c r="AW18" s="1241"/>
      <c r="AX18" s="1241"/>
      <c r="AY18" s="1241"/>
      <c r="AZ18" s="1241"/>
      <c r="BA18" s="1241"/>
      <c r="BB18" s="1241"/>
      <c r="BC18" s="1241"/>
      <c r="BE18" s="434"/>
      <c r="BF18" s="434" t="str">
        <f t="shared" si="1"/>
        <v>Добавить территорию для дифференциации</v>
      </c>
      <c r="BG18" s="434"/>
      <c r="BH18" s="434"/>
      <c r="BI18" s="445">
        <v>0</v>
      </c>
    </row>
    <row r="19" spans="1:61" ht="14.25" hidden="1" customHeight="1">
      <c r="AC19" s="262"/>
      <c r="BA19" s="262"/>
      <c r="BI19" s="1072">
        <v>0</v>
      </c>
    </row>
    <row r="20" spans="1:61" ht="14.25" hidden="1" customHeight="1">
      <c r="AD20" s="1241" t="s">
        <v>19</v>
      </c>
      <c r="AE20" s="1418"/>
      <c r="AF20" s="482">
        <v>1</v>
      </c>
      <c r="AG20" s="1419"/>
      <c r="AH20" s="1241" t="s">
        <v>19</v>
      </c>
      <c r="AI20" s="1418"/>
      <c r="AJ20" s="482">
        <v>1</v>
      </c>
      <c r="AK20" s="1419"/>
      <c r="AL20" s="1241" t="s">
        <v>19</v>
      </c>
      <c r="AM20" s="1420"/>
      <c r="AN20" s="482">
        <v>1</v>
      </c>
      <c r="AO20" s="1421"/>
      <c r="AP20" s="1241" t="s">
        <v>19</v>
      </c>
      <c r="AQ20" s="1420"/>
      <c r="AR20" s="482">
        <v>1</v>
      </c>
      <c r="AS20" s="1421"/>
      <c r="AT20" s="260"/>
      <c r="AU20" s="318"/>
      <c r="AV20" s="260"/>
      <c r="AW20" s="318"/>
      <c r="AX20" s="1652"/>
      <c r="AY20" s="1402" t="s">
        <v>67</v>
      </c>
      <c r="AZ20" s="1652"/>
      <c r="BA20" s="1402" t="s">
        <v>67</v>
      </c>
      <c r="BI20" s="1072">
        <v>0</v>
      </c>
    </row>
    <row r="21" spans="1:61" ht="14.25" hidden="1" customHeight="1">
      <c r="BD21" s="430"/>
      <c r="BE21" s="430"/>
      <c r="BF21" s="430"/>
      <c r="BG21" s="430"/>
      <c r="BH21" s="430"/>
      <c r="BI21" s="1072">
        <v>0</v>
      </c>
    </row>
    <row r="22" spans="1:61" ht="14.25" hidden="1" customHeight="1">
      <c r="O22" s="1284" t="s">
        <v>449</v>
      </c>
      <c r="Z22" s="1262"/>
      <c r="AB22" s="1262"/>
      <c r="AC22" s="262"/>
      <c r="AX22" s="1262"/>
      <c r="AZ22" s="1262"/>
      <c r="BA22" s="262"/>
      <c r="BD22" s="430"/>
      <c r="BE22" s="430"/>
      <c r="BF22" s="430"/>
      <c r="BG22" s="430"/>
      <c r="BH22" s="430"/>
      <c r="BI22" s="1072">
        <v>0</v>
      </c>
    </row>
    <row r="23" spans="1:61" ht="14.25" hidden="1" customHeight="1">
      <c r="AC23" s="262"/>
      <c r="BA23" s="262"/>
      <c r="BD23" s="430"/>
      <c r="BE23" s="430"/>
      <c r="BF23" s="430"/>
      <c r="BG23" s="430"/>
      <c r="BH23" s="430"/>
      <c r="BI23" s="1072">
        <v>0</v>
      </c>
    </row>
    <row r="24" spans="1:61" s="2981" customFormat="1" ht="14.25" hidden="1" customHeight="1">
      <c r="M24" s="1425"/>
      <c r="N24" s="1425"/>
      <c r="O24" s="1426" t="s">
        <v>450</v>
      </c>
      <c r="P24" s="1425"/>
      <c r="Q24" s="1427"/>
      <c r="R24" s="1427"/>
      <c r="AA24" s="1424" t="s">
        <v>452</v>
      </c>
      <c r="AC24" s="1424" t="s">
        <v>453</v>
      </c>
      <c r="AD24" s="1424" t="s">
        <v>502</v>
      </c>
      <c r="AH24" s="1424" t="s">
        <v>502</v>
      </c>
      <c r="AK24" s="1424" t="s">
        <v>539</v>
      </c>
      <c r="AL24" s="1424" t="s">
        <v>502</v>
      </c>
      <c r="AP24" s="1424" t="s">
        <v>502</v>
      </c>
      <c r="AY24" s="1424" t="s">
        <v>452</v>
      </c>
      <c r="BA24" s="1424" t="s">
        <v>453</v>
      </c>
      <c r="BD24" s="1428"/>
      <c r="BE24" s="1428"/>
      <c r="BF24" s="1428"/>
      <c r="BG24" s="1428"/>
      <c r="BH24" s="1428"/>
      <c r="BI24" s="1424">
        <v>0</v>
      </c>
    </row>
    <row r="25" spans="1:61" ht="14.25" hidden="1" customHeight="1">
      <c r="O25" s="1281"/>
      <c r="BD25" s="430"/>
      <c r="BE25" s="430"/>
      <c r="BF25" s="430"/>
      <c r="BG25" s="430"/>
      <c r="BH25" s="430"/>
      <c r="BI25" s="1072">
        <v>0</v>
      </c>
    </row>
    <row r="26" spans="1:61" ht="14.25" hidden="1" customHeight="1">
      <c r="O26" s="1281"/>
      <c r="BD26" s="430"/>
      <c r="BE26" s="430"/>
      <c r="BF26" s="430"/>
      <c r="BG26" s="430"/>
      <c r="BH26" s="430"/>
      <c r="BI26" s="1072">
        <v>0</v>
      </c>
    </row>
    <row r="27" spans="1:61" ht="14.65" customHeight="1">
      <c r="Q27" s="226"/>
      <c r="R27" s="310"/>
      <c r="S27" s="1192"/>
      <c r="T27" s="297"/>
      <c r="U27" s="297"/>
      <c r="V27" s="443"/>
      <c r="W27" s="443"/>
      <c r="X27" s="443"/>
      <c r="Y27" s="443"/>
      <c r="Z27" s="443"/>
      <c r="AA27" s="443"/>
      <c r="AB27" s="443"/>
      <c r="AC27" s="443"/>
      <c r="AD27" s="443"/>
      <c r="AE27" s="443"/>
      <c r="AF27" s="443"/>
      <c r="AG27" s="443"/>
      <c r="AH27" s="443"/>
      <c r="AI27" s="443"/>
      <c r="AJ27" s="443"/>
      <c r="AK27" s="443"/>
      <c r="AL27" s="443"/>
      <c r="AM27" s="443"/>
      <c r="AN27" s="443"/>
      <c r="AO27" s="443"/>
      <c r="AP27" s="443"/>
      <c r="AQ27" s="443"/>
      <c r="AR27" s="443"/>
      <c r="AS27" s="443"/>
      <c r="AT27" s="443"/>
      <c r="AU27" s="443"/>
      <c r="AV27" s="443"/>
      <c r="AW27" s="443"/>
      <c r="AX27" s="443"/>
      <c r="AY27" s="443"/>
      <c r="AZ27" s="443"/>
      <c r="BA27" s="443"/>
      <c r="BI27" s="1072">
        <v>14</v>
      </c>
    </row>
    <row r="28" spans="1:61" ht="14.65" customHeight="1">
      <c r="Q28" s="226"/>
      <c r="R28" s="310"/>
      <c r="S28" s="3183"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3183"/>
      <c r="U28" s="3183"/>
      <c r="V28" s="3183"/>
      <c r="W28" s="3183"/>
      <c r="X28" s="3183"/>
      <c r="Y28" s="3183"/>
      <c r="Z28" s="3183"/>
      <c r="AA28" s="3183"/>
      <c r="AB28" s="3183"/>
      <c r="AC28" s="3183"/>
      <c r="AD28" s="3183"/>
      <c r="AE28" s="3183"/>
      <c r="AF28" s="3183"/>
      <c r="AG28" s="3183"/>
      <c r="AH28" s="3183"/>
      <c r="AI28" s="3183"/>
      <c r="AJ28" s="3183"/>
      <c r="AK28" s="3183"/>
      <c r="AL28" s="3183"/>
      <c r="AM28" s="3183"/>
      <c r="AN28" s="3183"/>
      <c r="AO28" s="3183"/>
      <c r="AP28" s="3183"/>
      <c r="AQ28" s="3183"/>
      <c r="AR28" s="3183"/>
      <c r="AS28" s="3183"/>
      <c r="AT28" s="3183"/>
      <c r="AU28" s="3183"/>
      <c r="AV28" s="3183"/>
      <c r="AW28" s="3183"/>
      <c r="AX28" s="3183"/>
      <c r="AY28" s="3183"/>
      <c r="AZ28" s="3183"/>
      <c r="BA28" s="1160"/>
      <c r="BI28" s="1072">
        <v>14</v>
      </c>
    </row>
    <row r="29" spans="1:61" ht="14.65" customHeight="1">
      <c r="Q29" s="226"/>
      <c r="R29" s="310"/>
      <c r="S29" s="3131" t="str">
        <f>IF(org=0,"Не определено",org)</f>
        <v>ООО "РСО"</v>
      </c>
      <c r="T29" s="3131"/>
      <c r="U29" s="3131"/>
      <c r="V29" s="3131"/>
      <c r="W29" s="3131"/>
      <c r="X29" s="3131"/>
      <c r="Y29" s="3131"/>
      <c r="Z29" s="3131"/>
      <c r="AA29" s="3131"/>
      <c r="AB29" s="3131"/>
      <c r="AC29" s="3131"/>
      <c r="AD29" s="3131"/>
      <c r="AE29" s="3131"/>
      <c r="AF29" s="3131"/>
      <c r="AG29" s="3131"/>
      <c r="AH29" s="3131"/>
      <c r="AI29" s="3131"/>
      <c r="AJ29" s="3131"/>
      <c r="AK29" s="3131"/>
      <c r="AL29" s="3131"/>
      <c r="AM29" s="3131"/>
      <c r="AN29" s="3131"/>
      <c r="AO29" s="3131"/>
      <c r="AP29" s="3131"/>
      <c r="AQ29" s="3131"/>
      <c r="AR29" s="3131"/>
      <c r="AS29" s="3131"/>
      <c r="AT29" s="3131"/>
      <c r="AU29" s="3131"/>
      <c r="AV29" s="3131"/>
      <c r="AW29" s="3131"/>
      <c r="AX29" s="3131"/>
      <c r="AY29" s="3131"/>
      <c r="AZ29" s="3131"/>
      <c r="BA29" s="1160"/>
      <c r="BI29" s="1072">
        <v>14</v>
      </c>
    </row>
    <row r="30" spans="1:61" ht="14.25" hidden="1" customHeight="1">
      <c r="Q30" s="226"/>
      <c r="R30" s="310"/>
      <c r="S30" s="1192"/>
      <c r="T30" s="297"/>
      <c r="U30" s="297"/>
      <c r="V30" s="257"/>
      <c r="W30" s="257"/>
      <c r="X30" s="257"/>
      <c r="Y30" s="257"/>
      <c r="Z30" s="257"/>
      <c r="AA30" s="257"/>
      <c r="AB30" s="257"/>
      <c r="AC30" s="257"/>
      <c r="AD30" s="257"/>
      <c r="AE30" s="257"/>
      <c r="AF30" s="257"/>
      <c r="AG30" s="257"/>
      <c r="AH30" s="257"/>
      <c r="AI30" s="257"/>
      <c r="AJ30" s="257"/>
      <c r="AK30" s="257"/>
      <c r="AL30" s="257"/>
      <c r="AM30" s="257"/>
      <c r="AN30" s="257"/>
      <c r="AO30" s="257"/>
      <c r="AP30" s="257"/>
      <c r="AQ30" s="257"/>
      <c r="AR30" s="257"/>
      <c r="AS30" s="257"/>
      <c r="AT30" s="257"/>
      <c r="AU30" s="257"/>
      <c r="AV30" s="257"/>
      <c r="AW30" s="257"/>
      <c r="AX30" s="257"/>
      <c r="AY30" s="257"/>
      <c r="AZ30" s="257"/>
      <c r="BA30" s="257"/>
      <c r="BB30" s="443"/>
      <c r="BI30" s="1072">
        <v>0</v>
      </c>
    </row>
    <row r="31" spans="1:61" s="2028" customFormat="1" ht="25.5" hidden="1" customHeight="1">
      <c r="A31" s="1285"/>
      <c r="B31" s="1285"/>
      <c r="C31" s="1285"/>
      <c r="D31" s="1285"/>
      <c r="E31" s="1285"/>
      <c r="F31" s="1285"/>
      <c r="G31" s="1285"/>
      <c r="H31" s="1285"/>
      <c r="I31" s="1285"/>
      <c r="J31" s="1285"/>
      <c r="K31" s="1285"/>
      <c r="L31" s="1286"/>
      <c r="M31" s="1285"/>
      <c r="N31" s="1285"/>
      <c r="O31" s="1285"/>
      <c r="P31" s="1285"/>
      <c r="Q31" s="1285"/>
      <c r="S31" s="3191" t="s">
        <v>42</v>
      </c>
      <c r="T31" s="3191"/>
      <c r="U31" s="1289"/>
      <c r="V31" s="3192" t="str">
        <f>IF(TITLE_NAME_OR_PR_CHANGE="",IF(TITLE_NAME_OR_PR="","",TITLE_NAME_OR_PR),TITLE_NAME_OR_PR_CHANGE)</f>
        <v/>
      </c>
      <c r="W31" s="3192"/>
      <c r="X31" s="3192"/>
      <c r="Y31" s="3192"/>
      <c r="Z31" s="3192"/>
      <c r="AA31" s="3192"/>
      <c r="AB31" s="3192"/>
      <c r="AC31" s="261"/>
      <c r="AD31" s="3192" t="str">
        <f>IF(TITLE_NAME_OR_PR_CHANGE="",IF(TITLE_NAME_OR_PR="","",TITLE_NAME_OR_PR),TITLE_NAME_OR_PR_CHANGE)</f>
        <v/>
      </c>
      <c r="AE31" s="3192"/>
      <c r="AF31" s="3192"/>
      <c r="AG31" s="3192"/>
      <c r="AH31" s="3192"/>
      <c r="AI31" s="3192"/>
      <c r="AJ31" s="3192"/>
      <c r="AK31" s="3192"/>
      <c r="AL31" s="3192"/>
      <c r="AM31" s="3192"/>
      <c r="AN31" s="3192"/>
      <c r="AO31" s="3192"/>
      <c r="AP31" s="3192"/>
      <c r="AQ31" s="3192"/>
      <c r="AR31" s="3192"/>
      <c r="AS31" s="3192"/>
      <c r="AT31" s="3192"/>
      <c r="AU31" s="3192"/>
      <c r="AV31" s="3192"/>
      <c r="AW31" s="3192"/>
      <c r="AX31" s="3192"/>
      <c r="AY31" s="3192"/>
      <c r="AZ31" s="3192"/>
      <c r="BA31" s="261"/>
      <c r="BB31" s="261"/>
      <c r="BC31" s="215"/>
      <c r="BD31" s="302"/>
      <c r="BE31" s="302"/>
      <c r="BF31" s="302"/>
      <c r="BG31" s="302"/>
      <c r="BH31" s="302"/>
      <c r="BI31" s="352">
        <v>0</v>
      </c>
    </row>
    <row r="32" spans="1:61" s="2028" customFormat="1" ht="18.75" hidden="1" customHeight="1">
      <c r="A32" s="1285"/>
      <c r="B32" s="1285"/>
      <c r="C32" s="1285"/>
      <c r="D32" s="1285"/>
      <c r="E32" s="1285"/>
      <c r="F32" s="1285"/>
      <c r="G32" s="1285"/>
      <c r="H32" s="1285"/>
      <c r="I32" s="1285"/>
      <c r="J32" s="1285"/>
      <c r="K32" s="1285"/>
      <c r="L32" s="1286"/>
      <c r="M32" s="1285"/>
      <c r="N32" s="1285"/>
      <c r="O32" s="1285"/>
      <c r="P32" s="1285"/>
      <c r="Q32" s="1285"/>
      <c r="S32" s="3191" t="s">
        <v>455</v>
      </c>
      <c r="T32" s="3191"/>
      <c r="U32" s="1289"/>
      <c r="V32" s="3201">
        <f>IF(TITLE_DATE_PR_CHANGE="",IF(TITLE_DATE_PR="","",TITLE_DATE_PR),TITLE_DATE_PR_CHANGE)</f>
        <v>45408</v>
      </c>
      <c r="W32" s="3201"/>
      <c r="X32" s="3201"/>
      <c r="Y32" s="3201"/>
      <c r="Z32" s="3201"/>
      <c r="AA32" s="3201"/>
      <c r="AB32" s="3201"/>
      <c r="AC32" s="261"/>
      <c r="AD32" s="3201">
        <f>IF(TITLE_DATE_PR_CHANGE="",IF(TITLE_DATE_PR="","",TITLE_DATE_PR),TITLE_DATE_PR_CHANGE)</f>
        <v>45408</v>
      </c>
      <c r="AE32" s="3201"/>
      <c r="AF32" s="3201"/>
      <c r="AG32" s="3201"/>
      <c r="AH32" s="3201"/>
      <c r="AI32" s="3201"/>
      <c r="AJ32" s="3201"/>
      <c r="AK32" s="3201"/>
      <c r="AL32" s="3201"/>
      <c r="AM32" s="3201"/>
      <c r="AN32" s="3201"/>
      <c r="AO32" s="3201"/>
      <c r="AP32" s="3201"/>
      <c r="AQ32" s="3201"/>
      <c r="AR32" s="3201"/>
      <c r="AS32" s="3201"/>
      <c r="AT32" s="3201"/>
      <c r="AU32" s="3201"/>
      <c r="AV32" s="3201"/>
      <c r="AW32" s="3201"/>
      <c r="AX32" s="3201"/>
      <c r="AY32" s="3201"/>
      <c r="AZ32" s="3201"/>
      <c r="BA32" s="261"/>
      <c r="BB32" s="261"/>
      <c r="BC32" s="215"/>
      <c r="BD32" s="302"/>
      <c r="BE32" s="302"/>
      <c r="BF32" s="302"/>
      <c r="BG32" s="302"/>
      <c r="BH32" s="302"/>
      <c r="BI32" s="352">
        <v>0</v>
      </c>
    </row>
    <row r="33" spans="1:61" s="2028" customFormat="1" ht="18.75" hidden="1" customHeight="1">
      <c r="A33" s="1285"/>
      <c r="B33" s="1285"/>
      <c r="C33" s="1285"/>
      <c r="D33" s="1285"/>
      <c r="E33" s="1285"/>
      <c r="F33" s="1285"/>
      <c r="G33" s="1285"/>
      <c r="H33" s="1285"/>
      <c r="I33" s="1285"/>
      <c r="J33" s="1285"/>
      <c r="K33" s="1285"/>
      <c r="L33" s="1286"/>
      <c r="M33" s="1285"/>
      <c r="N33" s="1285"/>
      <c r="O33" s="1285"/>
      <c r="P33" s="1285"/>
      <c r="Q33" s="1285"/>
      <c r="S33" s="3191" t="s">
        <v>456</v>
      </c>
      <c r="T33" s="3191"/>
      <c r="U33" s="1289"/>
      <c r="V33" s="3192" t="str">
        <f>IF(TITLE_NUMBER_PR_CHANGE="",IF(TITLE_NUMBER_PR="","",TITLE_NUMBER_PR),TITLE_NUMBER_PR_CHANGE)</f>
        <v>04-24/132, 04-24/131</v>
      </c>
      <c r="W33" s="3192"/>
      <c r="X33" s="3192"/>
      <c r="Y33" s="3192"/>
      <c r="Z33" s="3192"/>
      <c r="AA33" s="3192"/>
      <c r="AB33" s="3192"/>
      <c r="AC33" s="261"/>
      <c r="AD33" s="3192" t="str">
        <f>IF(TITLE_NUMBER_PR_CHANGE="",IF(TITLE_NUMBER_PR="","",TITLE_NUMBER_PR),TITLE_NUMBER_PR_CHANGE)</f>
        <v>04-24/132, 04-24/131</v>
      </c>
      <c r="AE33" s="3192"/>
      <c r="AF33" s="3192"/>
      <c r="AG33" s="3192"/>
      <c r="AH33" s="3192"/>
      <c r="AI33" s="3192"/>
      <c r="AJ33" s="3192"/>
      <c r="AK33" s="3192"/>
      <c r="AL33" s="3192"/>
      <c r="AM33" s="3192"/>
      <c r="AN33" s="3192"/>
      <c r="AO33" s="3192"/>
      <c r="AP33" s="3192"/>
      <c r="AQ33" s="3192"/>
      <c r="AR33" s="3192"/>
      <c r="AS33" s="3192"/>
      <c r="AT33" s="3192"/>
      <c r="AU33" s="3192"/>
      <c r="AV33" s="3192"/>
      <c r="AW33" s="3192"/>
      <c r="AX33" s="3192"/>
      <c r="AY33" s="3192"/>
      <c r="AZ33" s="3192"/>
      <c r="BA33" s="261"/>
      <c r="BB33" s="261"/>
      <c r="BC33" s="215"/>
      <c r="BD33" s="302"/>
      <c r="BE33" s="302"/>
      <c r="BF33" s="302"/>
      <c r="BG33" s="302"/>
      <c r="BH33" s="302"/>
      <c r="BI33" s="352">
        <v>0</v>
      </c>
    </row>
    <row r="34" spans="1:61" s="2028" customFormat="1" ht="18.75" hidden="1" customHeight="1">
      <c r="A34" s="1285"/>
      <c r="B34" s="1285"/>
      <c r="C34" s="1285"/>
      <c r="D34" s="1285"/>
      <c r="E34" s="1285"/>
      <c r="F34" s="1285"/>
      <c r="G34" s="1285"/>
      <c r="H34" s="1285"/>
      <c r="I34" s="1285"/>
      <c r="J34" s="1285"/>
      <c r="K34" s="1285"/>
      <c r="L34" s="1286"/>
      <c r="M34" s="1285"/>
      <c r="N34" s="1285"/>
      <c r="O34" s="1285"/>
      <c r="P34" s="1285"/>
      <c r="Q34" s="1285"/>
      <c r="S34" s="3191" t="s">
        <v>43</v>
      </c>
      <c r="T34" s="3191"/>
      <c r="U34" s="1289"/>
      <c r="V34" s="3192" t="str">
        <f>IF(TITLE_IST_PUB_CHANGE="",IF(TITLE_IST_PUB="","",TITLE_IST_PUB),TITLE_IST_PUB_CHANGE)</f>
        <v/>
      </c>
      <c r="W34" s="3192"/>
      <c r="X34" s="3192"/>
      <c r="Y34" s="3192"/>
      <c r="Z34" s="3192"/>
      <c r="AA34" s="3192"/>
      <c r="AB34" s="3192"/>
      <c r="AC34" s="261"/>
      <c r="AD34" s="3192" t="str">
        <f>IF(TITLE_IST_PUB_CHANGE="",IF(TITLE_IST_PUB="","",TITLE_IST_PUB),TITLE_IST_PUB_CHANGE)</f>
        <v/>
      </c>
      <c r="AE34" s="3192"/>
      <c r="AF34" s="3192"/>
      <c r="AG34" s="3192"/>
      <c r="AH34" s="3192"/>
      <c r="AI34" s="3192"/>
      <c r="AJ34" s="3192"/>
      <c r="AK34" s="3192"/>
      <c r="AL34" s="3192"/>
      <c r="AM34" s="3192"/>
      <c r="AN34" s="3192"/>
      <c r="AO34" s="3192"/>
      <c r="AP34" s="3192"/>
      <c r="AQ34" s="3192"/>
      <c r="AR34" s="3192"/>
      <c r="AS34" s="3192"/>
      <c r="AT34" s="3192"/>
      <c r="AU34" s="3192"/>
      <c r="AV34" s="3192"/>
      <c r="AW34" s="3192"/>
      <c r="AX34" s="3192"/>
      <c r="AY34" s="3192"/>
      <c r="AZ34" s="3192"/>
      <c r="BA34" s="261"/>
      <c r="BB34" s="261"/>
      <c r="BC34" s="215"/>
      <c r="BD34" s="302"/>
      <c r="BE34" s="302"/>
      <c r="BF34" s="302"/>
      <c r="BG34" s="302"/>
      <c r="BH34" s="302"/>
      <c r="BI34" s="352">
        <v>0</v>
      </c>
    </row>
    <row r="35" spans="1:61" ht="14.25" customHeight="1">
      <c r="Q35" s="226"/>
      <c r="R35" s="310"/>
      <c r="S35" s="1192"/>
      <c r="T35" s="297"/>
      <c r="U35" s="297"/>
      <c r="V35" s="257"/>
      <c r="W35" s="257"/>
      <c r="X35" s="257"/>
      <c r="Y35" s="257"/>
      <c r="Z35" s="257"/>
      <c r="AA35" s="257"/>
      <c r="AB35" s="257"/>
      <c r="AC35" s="257"/>
      <c r="AD35" s="257"/>
      <c r="AE35" s="257"/>
      <c r="AF35" s="257"/>
      <c r="AG35" s="257"/>
      <c r="AH35" s="257"/>
      <c r="AI35" s="257"/>
      <c r="AJ35" s="257"/>
      <c r="AK35" s="257"/>
      <c r="AL35" s="257"/>
      <c r="AM35" s="257"/>
      <c r="AN35" s="257"/>
      <c r="AO35" s="257"/>
      <c r="AP35" s="257"/>
      <c r="AQ35" s="257"/>
      <c r="AR35" s="257"/>
      <c r="AS35" s="257"/>
      <c r="AT35" s="257"/>
      <c r="AU35" s="257"/>
      <c r="AV35" s="257"/>
      <c r="AW35" s="257"/>
      <c r="AX35" s="257"/>
      <c r="AY35" s="257"/>
      <c r="AZ35" s="257"/>
      <c r="BA35" s="257"/>
      <c r="BB35" s="443"/>
      <c r="BI35" s="1072">
        <v>0</v>
      </c>
    </row>
    <row r="36" spans="1:61" s="2028" customFormat="1" ht="18.75" customHeight="1">
      <c r="A36" s="1285"/>
      <c r="B36" s="1285"/>
      <c r="C36" s="1285"/>
      <c r="D36" s="1285"/>
      <c r="E36" s="1285"/>
      <c r="F36" s="1285"/>
      <c r="G36" s="1285"/>
      <c r="H36" s="1285"/>
      <c r="I36" s="1285"/>
      <c r="J36" s="1285"/>
      <c r="K36" s="1285"/>
      <c r="L36" s="1286"/>
      <c r="M36" s="1285"/>
      <c r="N36" s="1285"/>
      <c r="O36" s="1285"/>
      <c r="P36" s="1285"/>
      <c r="Q36" s="1285"/>
      <c r="S36" s="3191" t="s">
        <v>455</v>
      </c>
      <c r="T36" s="3191"/>
      <c r="U36" s="1289"/>
      <c r="V36" s="3201">
        <f>IF(TITLE_DATE_PR_CHANGE="",IF(TITLE_DATE_PR="","",TITLE_DATE_PR),TITLE_DATE_PR_CHANGE)</f>
        <v>45408</v>
      </c>
      <c r="W36" s="3201"/>
      <c r="X36" s="3201"/>
      <c r="Y36" s="3201"/>
      <c r="Z36" s="3201"/>
      <c r="AA36" s="3201"/>
      <c r="AB36" s="3201"/>
      <c r="AC36" s="261"/>
      <c r="AD36" s="3201">
        <f>IF(TITLE_DATE_PR_CHANGE="",IF(TITLE_DATE_PR="","",TITLE_DATE_PR),TITLE_DATE_PR_CHANGE)</f>
        <v>45408</v>
      </c>
      <c r="AE36" s="3201"/>
      <c r="AF36" s="3201"/>
      <c r="AG36" s="3201"/>
      <c r="AH36" s="3201"/>
      <c r="AI36" s="3201"/>
      <c r="AJ36" s="3201"/>
      <c r="AK36" s="3201"/>
      <c r="AL36" s="3201"/>
      <c r="AM36" s="3201"/>
      <c r="AN36" s="3201"/>
      <c r="AO36" s="3201"/>
      <c r="AP36" s="3201"/>
      <c r="AQ36" s="3201"/>
      <c r="AR36" s="3201"/>
      <c r="AS36" s="3201"/>
      <c r="AT36" s="3201"/>
      <c r="AU36" s="3201"/>
      <c r="AV36" s="3201"/>
      <c r="AW36" s="3201"/>
      <c r="AX36" s="3201"/>
      <c r="AY36" s="3201"/>
      <c r="AZ36" s="3201"/>
      <c r="BA36" s="261"/>
      <c r="BB36" s="261"/>
      <c r="BC36" s="215"/>
      <c r="BD36" s="302"/>
      <c r="BE36" s="302"/>
      <c r="BF36" s="302"/>
      <c r="BG36" s="302"/>
      <c r="BH36" s="302"/>
      <c r="BI36" s="352">
        <v>0</v>
      </c>
    </row>
    <row r="37" spans="1:61" s="2028" customFormat="1" ht="18.75" customHeight="1">
      <c r="A37" s="1285"/>
      <c r="B37" s="1285"/>
      <c r="C37" s="1285"/>
      <c r="D37" s="1285"/>
      <c r="E37" s="1285"/>
      <c r="F37" s="1285"/>
      <c r="G37" s="1285"/>
      <c r="H37" s="1285"/>
      <c r="I37" s="1285"/>
      <c r="J37" s="1285"/>
      <c r="K37" s="1285"/>
      <c r="L37" s="1286"/>
      <c r="M37" s="1285"/>
      <c r="N37" s="1285"/>
      <c r="O37" s="1285"/>
      <c r="P37" s="1285"/>
      <c r="Q37" s="1285"/>
      <c r="S37" s="3191" t="s">
        <v>456</v>
      </c>
      <c r="T37" s="3191"/>
      <c r="U37" s="1289"/>
      <c r="V37" s="3192" t="str">
        <f>IF(TITLE_NUMBER_PR_CHANGE="",IF(TITLE_NUMBER_PR="","",TITLE_NUMBER_PR),TITLE_NUMBER_PR_CHANGE)</f>
        <v>04-24/132, 04-24/131</v>
      </c>
      <c r="W37" s="3192"/>
      <c r="X37" s="3192"/>
      <c r="Y37" s="3192"/>
      <c r="Z37" s="3192"/>
      <c r="AA37" s="3192"/>
      <c r="AB37" s="3192"/>
      <c r="AC37" s="261"/>
      <c r="AD37" s="3192" t="str">
        <f>IF(TITLE_NUMBER_PR_CHANGE="",IF(TITLE_NUMBER_PR="","",TITLE_NUMBER_PR),TITLE_NUMBER_PR_CHANGE)</f>
        <v>04-24/132, 04-24/131</v>
      </c>
      <c r="AE37" s="3192"/>
      <c r="AF37" s="3192"/>
      <c r="AG37" s="3192"/>
      <c r="AH37" s="3192"/>
      <c r="AI37" s="3192"/>
      <c r="AJ37" s="3192"/>
      <c r="AK37" s="3192"/>
      <c r="AL37" s="3192"/>
      <c r="AM37" s="3192"/>
      <c r="AN37" s="3192"/>
      <c r="AO37" s="3192"/>
      <c r="AP37" s="3192"/>
      <c r="AQ37" s="3192"/>
      <c r="AR37" s="3192"/>
      <c r="AS37" s="3192"/>
      <c r="AT37" s="3192"/>
      <c r="AU37" s="3192"/>
      <c r="AV37" s="3192"/>
      <c r="AW37" s="3192"/>
      <c r="AX37" s="3192"/>
      <c r="AY37" s="3192"/>
      <c r="AZ37" s="3192"/>
      <c r="BA37" s="261"/>
      <c r="BB37" s="261"/>
      <c r="BC37" s="215"/>
      <c r="BD37" s="302"/>
      <c r="BE37" s="302"/>
      <c r="BF37" s="302"/>
      <c r="BG37" s="302"/>
      <c r="BH37" s="302"/>
      <c r="BI37" s="352">
        <v>0</v>
      </c>
    </row>
    <row r="38" spans="1:61" s="2028" customFormat="1" ht="0" hidden="1" customHeight="1">
      <c r="A38" s="1285"/>
      <c r="B38" s="1285"/>
      <c r="C38" s="1285"/>
      <c r="D38" s="1285"/>
      <c r="E38" s="1285"/>
      <c r="F38" s="1285"/>
      <c r="G38" s="1285"/>
      <c r="H38" s="1285"/>
      <c r="I38" s="1285"/>
      <c r="J38" s="1285"/>
      <c r="K38" s="1285"/>
      <c r="L38" s="1286"/>
      <c r="M38" s="1285"/>
      <c r="N38" s="1285"/>
      <c r="O38" s="1285"/>
      <c r="P38" s="1285"/>
      <c r="Q38" s="1285"/>
      <c r="S38" s="258"/>
      <c r="T38" s="258"/>
      <c r="U38" s="1405"/>
      <c r="V38" s="261"/>
      <c r="W38" s="261"/>
      <c r="X38" s="261"/>
      <c r="Y38" s="261"/>
      <c r="Z38" s="261"/>
      <c r="AA38" s="261"/>
      <c r="AB38" s="261"/>
      <c r="AC38" s="213" t="s">
        <v>459</v>
      </c>
      <c r="AD38" s="261"/>
      <c r="AE38" s="261"/>
      <c r="AF38" s="261"/>
      <c r="AG38" s="261"/>
      <c r="AH38" s="261"/>
      <c r="AI38" s="261"/>
      <c r="AJ38" s="261"/>
      <c r="AK38" s="261"/>
      <c r="AL38" s="261"/>
      <c r="AM38" s="261"/>
      <c r="AN38" s="261"/>
      <c r="AO38" s="261"/>
      <c r="AP38" s="261"/>
      <c r="AQ38" s="261"/>
      <c r="AR38" s="261"/>
      <c r="AS38" s="261"/>
      <c r="AT38" s="261"/>
      <c r="AU38" s="261"/>
      <c r="AV38" s="261"/>
      <c r="AW38" s="261"/>
      <c r="AX38" s="261"/>
      <c r="AY38" s="261"/>
      <c r="AZ38" s="261"/>
      <c r="BA38" s="213" t="s">
        <v>459</v>
      </c>
      <c r="BD38" s="302"/>
      <c r="BE38" s="302"/>
      <c r="BF38" s="302"/>
      <c r="BG38" s="302"/>
      <c r="BH38" s="302"/>
      <c r="BI38" s="352">
        <v>0</v>
      </c>
    </row>
    <row r="39" spans="1:61" ht="14.65" customHeight="1">
      <c r="Q39" s="226"/>
      <c r="R39" s="310"/>
      <c r="S39" s="1192"/>
      <c r="T39" s="297"/>
      <c r="U39" s="1161"/>
      <c r="V39" s="3193"/>
      <c r="W39" s="3193"/>
      <c r="X39" s="3193"/>
      <c r="Y39" s="3193"/>
      <c r="Z39" s="3193"/>
      <c r="AA39" s="3193"/>
      <c r="AB39" s="3193"/>
      <c r="AC39" s="3193"/>
      <c r="AD39" s="3193"/>
      <c r="AE39" s="3193"/>
      <c r="AF39" s="3193"/>
      <c r="AG39" s="3193"/>
      <c r="AH39" s="3193"/>
      <c r="AI39" s="3193"/>
      <c r="AJ39" s="3193"/>
      <c r="AK39" s="3193"/>
      <c r="AL39" s="3193"/>
      <c r="AM39" s="3193"/>
      <c r="AN39" s="3193"/>
      <c r="AO39" s="3193"/>
      <c r="AP39" s="3193"/>
      <c r="AQ39" s="3193"/>
      <c r="AR39" s="3193"/>
      <c r="AS39" s="3193"/>
      <c r="AT39" s="3193"/>
      <c r="AU39" s="3193"/>
      <c r="AV39" s="3193"/>
      <c r="AW39" s="3193"/>
      <c r="AX39" s="3193"/>
      <c r="AY39" s="3193"/>
      <c r="AZ39" s="3193"/>
      <c r="BA39" s="3193"/>
      <c r="BI39" s="1072">
        <v>14</v>
      </c>
    </row>
    <row r="40" spans="1:61" ht="14.65" customHeight="1">
      <c r="Q40" s="226"/>
      <c r="R40" s="310"/>
      <c r="S40" s="3067" t="s">
        <v>335</v>
      </c>
      <c r="T40" s="3067"/>
      <c r="U40" s="3067"/>
      <c r="V40" s="3067"/>
      <c r="W40" s="3067"/>
      <c r="X40" s="3067"/>
      <c r="Y40" s="3067"/>
      <c r="Z40" s="3067"/>
      <c r="AA40" s="3067"/>
      <c r="AB40" s="3067"/>
      <c r="AC40" s="3067"/>
      <c r="AD40" s="3067"/>
      <c r="AE40" s="3067"/>
      <c r="AF40" s="3067"/>
      <c r="AG40" s="3067"/>
      <c r="AH40" s="3067"/>
      <c r="AI40" s="3067"/>
      <c r="AJ40" s="3067"/>
      <c r="AK40" s="3067"/>
      <c r="AL40" s="3067"/>
      <c r="AM40" s="3067"/>
      <c r="AN40" s="3067"/>
      <c r="AO40" s="3067"/>
      <c r="AP40" s="3067"/>
      <c r="AQ40" s="3067"/>
      <c r="AR40" s="3067"/>
      <c r="AS40" s="3067"/>
      <c r="AT40" s="3067"/>
      <c r="AU40" s="3067"/>
      <c r="AV40" s="3067"/>
      <c r="AW40" s="3067"/>
      <c r="AX40" s="3067"/>
      <c r="AY40" s="3067"/>
      <c r="AZ40" s="3067"/>
      <c r="BA40" s="3067"/>
      <c r="BB40" s="3067"/>
      <c r="BC40" s="3067" t="s">
        <v>336</v>
      </c>
      <c r="BI40" s="1072">
        <v>14</v>
      </c>
    </row>
    <row r="41" spans="1:61" ht="14.65" customHeight="1">
      <c r="Q41" s="226"/>
      <c r="R41" s="310"/>
      <c r="S41" s="3207" t="s">
        <v>89</v>
      </c>
      <c r="T41" s="3159" t="s">
        <v>540</v>
      </c>
      <c r="U41" s="236"/>
      <c r="V41" s="3208" t="s">
        <v>461</v>
      </c>
      <c r="W41" s="3209"/>
      <c r="X41" s="3209"/>
      <c r="Y41" s="3209"/>
      <c r="Z41" s="3209"/>
      <c r="AA41" s="3209"/>
      <c r="AB41" s="3210"/>
      <c r="AC41" s="3211" t="s">
        <v>462</v>
      </c>
      <c r="AD41" s="3244" t="s">
        <v>557</v>
      </c>
      <c r="AE41" s="3225"/>
      <c r="AF41" s="3225"/>
      <c r="AG41" s="3245"/>
      <c r="AH41" s="3244" t="s">
        <v>558</v>
      </c>
      <c r="AI41" s="3225"/>
      <c r="AJ41" s="3225"/>
      <c r="AK41" s="3245"/>
      <c r="AL41" s="3244" t="s">
        <v>559</v>
      </c>
      <c r="AM41" s="3225"/>
      <c r="AN41" s="3225"/>
      <c r="AO41" s="3245"/>
      <c r="AP41" s="3244" t="s">
        <v>544</v>
      </c>
      <c r="AQ41" s="3225"/>
      <c r="AR41" s="3225"/>
      <c r="AS41" s="3245"/>
      <c r="AT41" s="3208" t="s">
        <v>461</v>
      </c>
      <c r="AU41" s="3209"/>
      <c r="AV41" s="3209"/>
      <c r="AW41" s="3209"/>
      <c r="AX41" s="3209"/>
      <c r="AY41" s="3209"/>
      <c r="AZ41" s="3210"/>
      <c r="BA41" s="3211" t="s">
        <v>462</v>
      </c>
      <c r="BB41" s="3214" t="s">
        <v>464</v>
      </c>
      <c r="BC41" s="3067"/>
      <c r="BI41" s="1072">
        <v>14</v>
      </c>
    </row>
    <row r="42" spans="1:61" ht="35.65" customHeight="1">
      <c r="Q42" s="226"/>
      <c r="R42" s="310"/>
      <c r="S42" s="3207"/>
      <c r="T42" s="3159"/>
      <c r="U42" s="952"/>
      <c r="V42" s="3145" t="s">
        <v>545</v>
      </c>
      <c r="W42" s="3146"/>
      <c r="X42" s="3145" t="s">
        <v>546</v>
      </c>
      <c r="Y42" s="3146"/>
      <c r="Z42" s="3145" t="s">
        <v>547</v>
      </c>
      <c r="AA42" s="3239"/>
      <c r="AB42" s="3146"/>
      <c r="AC42" s="3212"/>
      <c r="AD42" s="3246"/>
      <c r="AE42" s="3247"/>
      <c r="AF42" s="3247"/>
      <c r="AG42" s="3248"/>
      <c r="AH42" s="3246"/>
      <c r="AI42" s="3247"/>
      <c r="AJ42" s="3247"/>
      <c r="AK42" s="3248"/>
      <c r="AL42" s="3246"/>
      <c r="AM42" s="3247"/>
      <c r="AN42" s="3247"/>
      <c r="AO42" s="3248"/>
      <c r="AP42" s="3246"/>
      <c r="AQ42" s="3247"/>
      <c r="AR42" s="3247"/>
      <c r="AS42" s="3248"/>
      <c r="AT42" s="3145" t="s">
        <v>560</v>
      </c>
      <c r="AU42" s="3146"/>
      <c r="AV42" s="3145" t="s">
        <v>561</v>
      </c>
      <c r="AW42" s="3146"/>
      <c r="AX42" s="3145" t="s">
        <v>547</v>
      </c>
      <c r="AY42" s="3239"/>
      <c r="AZ42" s="3146"/>
      <c r="BA42" s="3212"/>
      <c r="BB42" s="3215"/>
      <c r="BC42" s="3067"/>
      <c r="BI42" s="1072">
        <v>34</v>
      </c>
    </row>
    <row r="43" spans="1:61" ht="14.65" customHeight="1">
      <c r="Q43" s="226"/>
      <c r="R43" s="310"/>
      <c r="S43" s="3207"/>
      <c r="T43" s="3159"/>
      <c r="U43" s="952"/>
      <c r="V43" s="3150"/>
      <c r="W43" s="3151"/>
      <c r="X43" s="3150"/>
      <c r="Y43" s="3151"/>
      <c r="Z43" s="3150"/>
      <c r="AA43" s="3240"/>
      <c r="AB43" s="3151"/>
      <c r="AC43" s="3212"/>
      <c r="AD43" s="3246"/>
      <c r="AE43" s="3247"/>
      <c r="AF43" s="3247"/>
      <c r="AG43" s="3248"/>
      <c r="AH43" s="3246"/>
      <c r="AI43" s="3247"/>
      <c r="AJ43" s="3247"/>
      <c r="AK43" s="3248"/>
      <c r="AL43" s="3246"/>
      <c r="AM43" s="3247"/>
      <c r="AN43" s="3247"/>
      <c r="AO43" s="3248"/>
      <c r="AP43" s="3246"/>
      <c r="AQ43" s="3247"/>
      <c r="AR43" s="3247"/>
      <c r="AS43" s="3248"/>
      <c r="AT43" s="3150"/>
      <c r="AU43" s="3151"/>
      <c r="AV43" s="3150"/>
      <c r="AW43" s="3151"/>
      <c r="AX43" s="3150"/>
      <c r="AY43" s="3240"/>
      <c r="AZ43" s="3151"/>
      <c r="BA43" s="3212"/>
      <c r="BB43" s="3215"/>
      <c r="BC43" s="3067"/>
      <c r="BI43" s="1072">
        <v>14</v>
      </c>
    </row>
    <row r="44" spans="1:61" ht="14.65" customHeight="1">
      <c r="A44" s="1287"/>
      <c r="B44" s="1287" t="s">
        <v>149</v>
      </c>
      <c r="C44" s="1287" t="s">
        <v>150</v>
      </c>
      <c r="D44" s="1287" t="s">
        <v>151</v>
      </c>
      <c r="E44" s="1281" t="s">
        <v>469</v>
      </c>
      <c r="F44" s="1281" t="s">
        <v>470</v>
      </c>
      <c r="G44" s="1281" t="s">
        <v>471</v>
      </c>
      <c r="H44" s="1281" t="s">
        <v>472</v>
      </c>
      <c r="I44" s="1281" t="s">
        <v>473</v>
      </c>
      <c r="J44" s="1281" t="s">
        <v>474</v>
      </c>
      <c r="K44" s="1281" t="s">
        <v>475</v>
      </c>
      <c r="L44" s="1281" t="s">
        <v>450</v>
      </c>
      <c r="Q44" s="226"/>
      <c r="R44" s="310"/>
      <c r="S44" s="3207"/>
      <c r="T44" s="3159"/>
      <c r="U44" s="237"/>
      <c r="V44" s="1396" t="s">
        <v>511</v>
      </c>
      <c r="W44" s="1396" t="s">
        <v>512</v>
      </c>
      <c r="X44" s="1396" t="s">
        <v>511</v>
      </c>
      <c r="Y44" s="1396" t="s">
        <v>512</v>
      </c>
      <c r="Z44" s="1406" t="s">
        <v>478</v>
      </c>
      <c r="AA44" s="3167" t="s">
        <v>479</v>
      </c>
      <c r="AB44" s="3169"/>
      <c r="AC44" s="3213"/>
      <c r="AD44" s="3249"/>
      <c r="AE44" s="3250"/>
      <c r="AF44" s="3250"/>
      <c r="AG44" s="3251"/>
      <c r="AH44" s="3249"/>
      <c r="AI44" s="3250"/>
      <c r="AJ44" s="3250"/>
      <c r="AK44" s="3251"/>
      <c r="AL44" s="3249"/>
      <c r="AM44" s="3250"/>
      <c r="AN44" s="3250"/>
      <c r="AO44" s="3251"/>
      <c r="AP44" s="3249"/>
      <c r="AQ44" s="3250"/>
      <c r="AR44" s="3250"/>
      <c r="AS44" s="3251"/>
      <c r="AT44" s="1396" t="s">
        <v>511</v>
      </c>
      <c r="AU44" s="1396" t="s">
        <v>512</v>
      </c>
      <c r="AV44" s="1396" t="s">
        <v>511</v>
      </c>
      <c r="AW44" s="1396" t="s">
        <v>512</v>
      </c>
      <c r="AX44" s="1406" t="s">
        <v>478</v>
      </c>
      <c r="AY44" s="3167" t="s">
        <v>479</v>
      </c>
      <c r="AZ44" s="3169"/>
      <c r="BA44" s="3213"/>
      <c r="BB44" s="3216"/>
      <c r="BC44" s="3067"/>
      <c r="BI44" s="1072">
        <v>14</v>
      </c>
    </row>
    <row r="45" spans="1:61" s="2212" customFormat="1" ht="11.25" hidden="1" customHeight="1">
      <c r="A45" s="1287"/>
      <c r="B45" s="1287"/>
      <c r="C45" s="1287"/>
      <c r="D45" s="1287"/>
      <c r="E45" s="1287"/>
      <c r="F45" s="1287"/>
      <c r="G45" s="1287"/>
      <c r="H45" s="1287"/>
      <c r="I45" s="1287"/>
      <c r="J45" s="1287"/>
      <c r="K45" s="1287"/>
      <c r="L45" s="1281"/>
      <c r="M45" s="1279"/>
      <c r="N45" s="1279"/>
      <c r="O45" s="1279"/>
      <c r="P45" s="444"/>
      <c r="Q45" s="1171"/>
      <c r="R45" s="1171">
        <v>1</v>
      </c>
      <c r="S45" s="1194" t="s">
        <v>124</v>
      </c>
      <c r="T45" s="1172" t="s">
        <v>104</v>
      </c>
      <c r="U45" s="1162" t="str">
        <f ca="1">OFFSET(U45,0,-1)</f>
        <v>2</v>
      </c>
      <c r="V45" s="1399">
        <f t="shared" ref="V45:AA45" ca="1" si="2">OFFSET(V45,0,-1)+1</f>
        <v>3</v>
      </c>
      <c r="W45" s="1399">
        <f t="shared" ca="1" si="2"/>
        <v>4</v>
      </c>
      <c r="X45" s="1399">
        <f t="shared" ca="1" si="2"/>
        <v>5</v>
      </c>
      <c r="Y45" s="1399">
        <f t="shared" ca="1" si="2"/>
        <v>6</v>
      </c>
      <c r="Z45" s="1399">
        <f t="shared" ca="1" si="2"/>
        <v>7</v>
      </c>
      <c r="AA45" s="3206">
        <f t="shared" ca="1" si="2"/>
        <v>8</v>
      </c>
      <c r="AB45" s="3206"/>
      <c r="AC45" s="1399">
        <f ca="1">OFFSET(AC45,0,-2)+1</f>
        <v>9</v>
      </c>
      <c r="AD45" s="1399">
        <f ca="1">OFFSET(AD45,0,-1)+1</f>
        <v>10</v>
      </c>
      <c r="AE45" s="1399"/>
      <c r="AF45" s="1399"/>
      <c r="AG45" s="1399"/>
      <c r="AH45" s="1399"/>
      <c r="AI45" s="1399"/>
      <c r="AJ45" s="1399"/>
      <c r="AK45" s="1399"/>
      <c r="AL45" s="1399"/>
      <c r="AM45" s="1399"/>
      <c r="AN45" s="1399"/>
      <c r="AO45" s="1399"/>
      <c r="AP45" s="1399"/>
      <c r="AQ45" s="1399"/>
      <c r="AR45" s="1399"/>
      <c r="AS45" s="1399"/>
      <c r="AT45" s="1399"/>
      <c r="AU45" s="1399"/>
      <c r="AV45" s="1399"/>
      <c r="AW45" s="1399">
        <f ca="1">OFFSET(AW45,0,-1)+1</f>
        <v>1</v>
      </c>
      <c r="AX45" s="1399">
        <f ca="1">OFFSET(AX45,0,-1)+1</f>
        <v>2</v>
      </c>
      <c r="AY45" s="3206">
        <f ca="1">OFFSET(AY45,0,-1)+1</f>
        <v>3</v>
      </c>
      <c r="AZ45" s="3206"/>
      <c r="BA45" s="1399">
        <f ca="1">OFFSET(BA45,0,-2)+1</f>
        <v>4</v>
      </c>
      <c r="BB45" s="1162">
        <f ca="1">OFFSET(BB45,0,-1)</f>
        <v>4</v>
      </c>
      <c r="BC45" s="1399">
        <f ca="1">OFFSET(BC45,0,-1)+1</f>
        <v>5</v>
      </c>
      <c r="BD45" s="445"/>
      <c r="BE45" s="445"/>
      <c r="BF45" s="445"/>
      <c r="BG45" s="445"/>
      <c r="BH45" s="445"/>
      <c r="BI45" s="430">
        <v>0</v>
      </c>
    </row>
    <row r="46" spans="1:61" ht="22" customHeight="1">
      <c r="A46" s="1280" t="s">
        <v>311</v>
      </c>
      <c r="B46" s="1280"/>
      <c r="C46" s="1280"/>
      <c r="D46" s="1280"/>
      <c r="E46" s="3199">
        <v>1</v>
      </c>
      <c r="F46" s="1280"/>
      <c r="G46" s="1280"/>
      <c r="H46" s="1280"/>
      <c r="I46" s="1280"/>
      <c r="J46" s="1280"/>
      <c r="K46" s="1280"/>
      <c r="L46" s="1281"/>
      <c r="M46" s="1282"/>
      <c r="N46" s="1282"/>
      <c r="O46" s="1282"/>
      <c r="P46" s="1326"/>
      <c r="Q46" s="797"/>
      <c r="R46" s="289"/>
      <c r="S46" s="1410">
        <f>INDEX(PT_DIFFERENTIATION_NUM_NTAR,MATCH(A46,PT_DIFFERENTIATION_NTAR_ID,0))</f>
        <v>0</v>
      </c>
      <c r="T46" s="233" t="s">
        <v>137</v>
      </c>
      <c r="U46" s="235"/>
      <c r="V46" s="3186"/>
      <c r="W46" s="3186"/>
      <c r="X46" s="3186"/>
      <c r="Y46" s="3186"/>
      <c r="Z46" s="3186"/>
      <c r="AA46" s="3186"/>
      <c r="AB46" s="3186"/>
      <c r="AC46" s="3187"/>
      <c r="AD46" s="3185" t="str">
        <f>INDEX(PT_DIFFERENTIATION_NTAR,MATCH(A46,PT_DIFFERENTIATION_NTAR_ID,0))</f>
        <v/>
      </c>
      <c r="AE46" s="3186"/>
      <c r="AF46" s="3186"/>
      <c r="AG46" s="3186"/>
      <c r="AH46" s="3186"/>
      <c r="AI46" s="3186"/>
      <c r="AJ46" s="3186"/>
      <c r="AK46" s="3186"/>
      <c r="AL46" s="3186"/>
      <c r="AM46" s="3186"/>
      <c r="AN46" s="3186"/>
      <c r="AO46" s="3186"/>
      <c r="AP46" s="3186"/>
      <c r="AQ46" s="3186"/>
      <c r="AR46" s="3186"/>
      <c r="AS46" s="3186"/>
      <c r="AT46" s="3186"/>
      <c r="AU46" s="3186"/>
      <c r="AV46" s="3186"/>
      <c r="AW46" s="3186"/>
      <c r="AX46" s="3186"/>
      <c r="AY46" s="3186"/>
      <c r="AZ46" s="3186"/>
      <c r="BA46" s="3186"/>
      <c r="BB46" s="3187"/>
      <c r="BC46"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4"/>
      <c r="BF46" s="434" t="str">
        <f t="shared" ref="BF46:BF52" si="3">IF(T46="","",T46)</f>
        <v>Наименование тарифа</v>
      </c>
      <c r="BG46" s="434"/>
      <c r="BH46" s="434"/>
      <c r="BI46" s="1072">
        <v>21</v>
      </c>
    </row>
    <row r="47" spans="1:61" ht="22" customHeight="1">
      <c r="A47" s="1280" t="s">
        <v>311</v>
      </c>
      <c r="B47" s="1280" t="s">
        <v>312</v>
      </c>
      <c r="C47" s="1280"/>
      <c r="D47" s="1280"/>
      <c r="E47" s="3200"/>
      <c r="F47" s="3199">
        <v>1</v>
      </c>
      <c r="G47" s="1280"/>
      <c r="H47" s="1280"/>
      <c r="I47" s="1280"/>
      <c r="J47" s="1280"/>
      <c r="K47" s="1280"/>
      <c r="L47" s="1281"/>
      <c r="M47" s="1282"/>
      <c r="N47" s="1282"/>
      <c r="O47" s="1282"/>
      <c r="P47" s="1327"/>
      <c r="Q47" s="1328"/>
      <c r="R47" s="287"/>
      <c r="S47" s="1410" t="str">
        <f>INDEX(PT_DIFFERENTIATION_NUM_TER,MATCH(B47,PT_DIFFERENTIATION_TER_ID,0))</f>
        <v>.</v>
      </c>
      <c r="T47" s="243" t="s">
        <v>432</v>
      </c>
      <c r="U47" s="235"/>
      <c r="V47" s="3186"/>
      <c r="W47" s="3186"/>
      <c r="X47" s="3186"/>
      <c r="Y47" s="3186"/>
      <c r="Z47" s="3186"/>
      <c r="AA47" s="3186"/>
      <c r="AB47" s="3186"/>
      <c r="AC47" s="3187"/>
      <c r="AD47" s="3185" t="str">
        <f>INDEX(PT_DIFFERENTIATION_TER,MATCH(B47,PT_DIFFERENTIATION_TER_ID,0))</f>
        <v/>
      </c>
      <c r="AE47" s="3186"/>
      <c r="AF47" s="3186"/>
      <c r="AG47" s="3186"/>
      <c r="AH47" s="3186"/>
      <c r="AI47" s="3186"/>
      <c r="AJ47" s="3186"/>
      <c r="AK47" s="3186"/>
      <c r="AL47" s="3186"/>
      <c r="AM47" s="3186"/>
      <c r="AN47" s="3186"/>
      <c r="AO47" s="3186"/>
      <c r="AP47" s="3186"/>
      <c r="AQ47" s="3186"/>
      <c r="AR47" s="3186"/>
      <c r="AS47" s="3186"/>
      <c r="AT47" s="3186"/>
      <c r="AU47" s="3186"/>
      <c r="AV47" s="3186"/>
      <c r="AW47" s="3186"/>
      <c r="AX47" s="3186"/>
      <c r="AY47" s="3186"/>
      <c r="AZ47" s="3186"/>
      <c r="BA47" s="3186"/>
      <c r="BB47" s="3187"/>
      <c r="BC47" s="1175" t="s">
        <v>433</v>
      </c>
      <c r="BE47" s="434"/>
      <c r="BF47" s="434" t="str">
        <f t="shared" si="3"/>
        <v>Территория действия тарифа</v>
      </c>
      <c r="BG47" s="434"/>
      <c r="BH47" s="434"/>
      <c r="BI47" s="1072">
        <v>21</v>
      </c>
    </row>
    <row r="48" spans="1:61" ht="35.65" customHeight="1">
      <c r="A48" s="1280" t="s">
        <v>311</v>
      </c>
      <c r="B48" s="1280" t="s">
        <v>312</v>
      </c>
      <c r="C48" s="1280" t="s">
        <v>313</v>
      </c>
      <c r="D48" s="1280"/>
      <c r="E48" s="3200"/>
      <c r="F48" s="3200"/>
      <c r="G48" s="3199">
        <v>1</v>
      </c>
      <c r="H48" s="1280"/>
      <c r="I48" s="1280"/>
      <c r="J48" s="1280"/>
      <c r="K48" s="1280"/>
      <c r="L48" s="1281"/>
      <c r="M48" s="1282"/>
      <c r="N48" s="1282"/>
      <c r="O48" s="1282"/>
      <c r="P48" s="1329"/>
      <c r="Q48" s="1328"/>
      <c r="R48" s="287"/>
      <c r="S48" s="1410" t="str">
        <f>INDEX(PT_DIFFERENTIATION_NUM_CS,MATCH(C48,PT_DIFFERENTIATION_CS_ID,0))</f>
        <v>..</v>
      </c>
      <c r="T48" s="244" t="s">
        <v>549</v>
      </c>
      <c r="U48" s="235"/>
      <c r="V48" s="3186"/>
      <c r="W48" s="3186"/>
      <c r="X48" s="3186"/>
      <c r="Y48" s="3186"/>
      <c r="Z48" s="3186"/>
      <c r="AA48" s="3186"/>
      <c r="AB48" s="3186"/>
      <c r="AC48" s="3187"/>
      <c r="AD48" s="3185" t="str">
        <f>INDEX(PT_DIFFERENTIATION_CS,MATCH(C48,PT_DIFFERENTIATION_CS_ID,0))</f>
        <v/>
      </c>
      <c r="AE48" s="3186"/>
      <c r="AF48" s="3186"/>
      <c r="AG48" s="3186"/>
      <c r="AH48" s="3186"/>
      <c r="AI48" s="3186"/>
      <c r="AJ48" s="3186"/>
      <c r="AK48" s="3186"/>
      <c r="AL48" s="3186"/>
      <c r="AM48" s="3186"/>
      <c r="AN48" s="3186"/>
      <c r="AO48" s="3186"/>
      <c r="AP48" s="3186"/>
      <c r="AQ48" s="3186"/>
      <c r="AR48" s="3186"/>
      <c r="AS48" s="3186"/>
      <c r="AT48" s="3186"/>
      <c r="AU48" s="3186"/>
      <c r="AV48" s="3186"/>
      <c r="AW48" s="3186"/>
      <c r="AX48" s="3186"/>
      <c r="AY48" s="3186"/>
      <c r="AZ48" s="3186"/>
      <c r="BA48" s="3186"/>
      <c r="BB48" s="3187"/>
      <c r="BC48" s="1175" t="s">
        <v>550</v>
      </c>
      <c r="BE48" s="434"/>
      <c r="BF48" s="434" t="str">
        <f t="shared" si="3"/>
        <v>Наименование централизованной системы водоотведения</v>
      </c>
      <c r="BG48" s="434"/>
      <c r="BH48" s="434"/>
      <c r="BI48" s="1072">
        <v>34</v>
      </c>
    </row>
    <row r="49" spans="1:61" s="2017" customFormat="1" ht="0" hidden="1" customHeight="1">
      <c r="A49" s="1260" t="s">
        <v>311</v>
      </c>
      <c r="B49" s="1260" t="s">
        <v>312</v>
      </c>
      <c r="C49" s="1260" t="s">
        <v>313</v>
      </c>
      <c r="D49" s="1260" t="s">
        <v>562</v>
      </c>
      <c r="E49" s="3200"/>
      <c r="F49" s="3200"/>
      <c r="G49" s="3200"/>
      <c r="H49" s="3199">
        <v>1</v>
      </c>
      <c r="I49" s="1260"/>
      <c r="J49" s="1260"/>
      <c r="K49" s="1260"/>
      <c r="L49" s="1263"/>
      <c r="M49" s="1232"/>
      <c r="N49" s="1232"/>
      <c r="O49" s="1232"/>
      <c r="P49" s="1414"/>
      <c r="Q49" s="1415"/>
      <c r="R49" s="291"/>
      <c r="S49" s="963"/>
      <c r="T49" s="1416"/>
      <c r="U49" s="1301"/>
      <c r="V49" s="3229"/>
      <c r="W49" s="3229"/>
      <c r="X49" s="3229"/>
      <c r="Y49" s="3229"/>
      <c r="Z49" s="3229"/>
      <c r="AA49" s="3229"/>
      <c r="AB49" s="3229"/>
      <c r="AC49" s="3230"/>
      <c r="AD49" s="3228"/>
      <c r="AE49" s="3229"/>
      <c r="AF49" s="3229"/>
      <c r="AG49" s="3229"/>
      <c r="AH49" s="3229"/>
      <c r="AI49" s="3229"/>
      <c r="AJ49" s="3229"/>
      <c r="AK49" s="3229"/>
      <c r="AL49" s="3229"/>
      <c r="AM49" s="3229"/>
      <c r="AN49" s="3229"/>
      <c r="AO49" s="3229"/>
      <c r="AP49" s="3229"/>
      <c r="AQ49" s="3229"/>
      <c r="AR49" s="3229"/>
      <c r="AS49" s="3229"/>
      <c r="AT49" s="3229"/>
      <c r="AU49" s="3229"/>
      <c r="AV49" s="3229"/>
      <c r="AW49" s="3229"/>
      <c r="AX49" s="3229"/>
      <c r="AY49" s="3229"/>
      <c r="AZ49" s="3229"/>
      <c r="BA49" s="3229"/>
      <c r="BB49" s="3230"/>
      <c r="BC49" s="1302" t="s">
        <v>437</v>
      </c>
      <c r="BE49" s="434"/>
      <c r="BF49" s="434" t="str">
        <f t="shared" si="3"/>
        <v/>
      </c>
      <c r="BG49" s="434"/>
      <c r="BH49" s="434"/>
      <c r="BI49" s="445">
        <v>0</v>
      </c>
    </row>
    <row r="50" spans="1:61" s="2017" customFormat="1" ht="0" hidden="1" customHeight="1">
      <c r="A50" s="1260" t="s">
        <v>311</v>
      </c>
      <c r="B50" s="1260" t="s">
        <v>312</v>
      </c>
      <c r="C50" s="1260" t="s">
        <v>313</v>
      </c>
      <c r="D50" s="1260" t="s">
        <v>562</v>
      </c>
      <c r="E50" s="3200"/>
      <c r="F50" s="3200"/>
      <c r="G50" s="3200"/>
      <c r="H50" s="3200"/>
      <c r="I50" s="3197" t="str">
        <f>S49&amp;".1"</f>
        <v>.1</v>
      </c>
      <c r="J50" s="1260"/>
      <c r="K50" s="1260"/>
      <c r="L50" s="1263" t="s">
        <v>438</v>
      </c>
      <c r="M50" s="444"/>
      <c r="N50" s="444"/>
      <c r="O50" s="444"/>
      <c r="P50" s="3198">
        <v>1</v>
      </c>
      <c r="Q50" s="1398"/>
      <c r="R50" s="290"/>
      <c r="S50" s="963"/>
      <c r="T50" s="1300"/>
      <c r="U50" s="1301"/>
      <c r="V50" s="3229"/>
      <c r="W50" s="3229"/>
      <c r="X50" s="3229"/>
      <c r="Y50" s="3229"/>
      <c r="Z50" s="3229"/>
      <c r="AA50" s="3229"/>
      <c r="AB50" s="3229"/>
      <c r="AC50" s="3230"/>
      <c r="AD50" s="3228"/>
      <c r="AE50" s="3229"/>
      <c r="AF50" s="3229"/>
      <c r="AG50" s="3229"/>
      <c r="AH50" s="3229"/>
      <c r="AI50" s="3229"/>
      <c r="AJ50" s="3229"/>
      <c r="AK50" s="3229"/>
      <c r="AL50" s="3229"/>
      <c r="AM50" s="3229"/>
      <c r="AN50" s="3229"/>
      <c r="AO50" s="3229"/>
      <c r="AP50" s="3229"/>
      <c r="AQ50" s="3229"/>
      <c r="AR50" s="3229"/>
      <c r="AS50" s="3229"/>
      <c r="AT50" s="3229"/>
      <c r="AU50" s="3229"/>
      <c r="AV50" s="3229"/>
      <c r="AW50" s="3229"/>
      <c r="AX50" s="3229"/>
      <c r="AY50" s="3229"/>
      <c r="AZ50" s="3229"/>
      <c r="BA50" s="3229"/>
      <c r="BB50" s="3230"/>
      <c r="BC50" s="1302"/>
      <c r="BE50" s="434"/>
      <c r="BF50" s="434" t="str">
        <f t="shared" si="3"/>
        <v/>
      </c>
      <c r="BG50" s="434"/>
      <c r="BH50" s="434"/>
      <c r="BI50" s="445">
        <v>0</v>
      </c>
    </row>
    <row r="51" spans="1:61" s="2017" customFormat="1" ht="0" hidden="1" customHeight="1">
      <c r="A51" s="1260" t="s">
        <v>311</v>
      </c>
      <c r="B51" s="1260" t="s">
        <v>312</v>
      </c>
      <c r="C51" s="1260" t="s">
        <v>313</v>
      </c>
      <c r="D51" s="1260" t="s">
        <v>562</v>
      </c>
      <c r="E51" s="3200"/>
      <c r="F51" s="3200"/>
      <c r="G51" s="3200"/>
      <c r="H51" s="3200"/>
      <c r="I51" s="3220"/>
      <c r="J51" s="3197" t="str">
        <f>S49&amp;".1"</f>
        <v>.1</v>
      </c>
      <c r="K51" s="1260"/>
      <c r="L51" s="1263"/>
      <c r="M51" s="444"/>
      <c r="N51" s="444"/>
      <c r="O51" s="444"/>
      <c r="P51" s="3198"/>
      <c r="Q51" s="3198">
        <v>1</v>
      </c>
      <c r="R51" s="291"/>
      <c r="S51" s="963"/>
      <c r="T51" s="1316"/>
      <c r="U51" s="1301"/>
      <c r="V51" s="3229"/>
      <c r="W51" s="3229"/>
      <c r="X51" s="3229"/>
      <c r="Y51" s="3229"/>
      <c r="Z51" s="3229"/>
      <c r="AA51" s="3229"/>
      <c r="AB51" s="3229"/>
      <c r="AC51" s="3230"/>
      <c r="AD51" s="3228"/>
      <c r="AE51" s="3229"/>
      <c r="AF51" s="3229"/>
      <c r="AG51" s="3229"/>
      <c r="AH51" s="3229"/>
      <c r="AI51" s="3229"/>
      <c r="AJ51" s="3229"/>
      <c r="AK51" s="3229"/>
      <c r="AL51" s="3229"/>
      <c r="AM51" s="3229"/>
      <c r="AN51" s="3280"/>
      <c r="AO51" s="3280"/>
      <c r="AP51" s="3229"/>
      <c r="AQ51" s="3229"/>
      <c r="AR51" s="3229"/>
      <c r="AS51" s="3229"/>
      <c r="AT51" s="3229"/>
      <c r="AU51" s="3229"/>
      <c r="AV51" s="3229"/>
      <c r="AW51" s="3229"/>
      <c r="AX51" s="3229"/>
      <c r="AY51" s="3229"/>
      <c r="AZ51" s="3229"/>
      <c r="BA51" s="3229"/>
      <c r="BB51" s="3230"/>
      <c r="BC51" s="1302"/>
      <c r="BE51" s="434"/>
      <c r="BF51" s="434" t="str">
        <f t="shared" si="3"/>
        <v/>
      </c>
      <c r="BG51" s="434"/>
      <c r="BH51" s="434"/>
      <c r="BI51" s="445">
        <v>0</v>
      </c>
    </row>
    <row r="52" spans="1:61" ht="11.5" customHeight="1">
      <c r="A52" s="1280" t="s">
        <v>311</v>
      </c>
      <c r="B52" s="1280" t="s">
        <v>312</v>
      </c>
      <c r="C52" s="1280" t="s">
        <v>313</v>
      </c>
      <c r="D52" s="1280" t="s">
        <v>562</v>
      </c>
      <c r="E52" s="3200"/>
      <c r="F52" s="3200"/>
      <c r="G52" s="3200"/>
      <c r="H52" s="3200"/>
      <c r="I52" s="3220"/>
      <c r="J52" s="3220"/>
      <c r="K52" s="3197" t="str">
        <f>S48&amp;".1"</f>
        <v>...1</v>
      </c>
      <c r="L52" s="1281"/>
      <c r="P52" s="3198"/>
      <c r="Q52" s="3198"/>
      <c r="R52" s="291">
        <v>1</v>
      </c>
      <c r="S52" s="3257" t="str">
        <f>$K52</f>
        <v>...1</v>
      </c>
      <c r="T52" s="3276"/>
      <c r="U52" s="235"/>
      <c r="V52" s="685"/>
      <c r="W52" s="1174"/>
      <c r="X52" s="685"/>
      <c r="Y52" s="1174"/>
      <c r="Z52" s="1650"/>
      <c r="AA52" s="1386" t="s">
        <v>67</v>
      </c>
      <c r="AB52" s="1650"/>
      <c r="AC52" s="1386" t="s">
        <v>67</v>
      </c>
      <c r="AD52" s="3078" t="s">
        <v>67</v>
      </c>
      <c r="AE52" s="3242"/>
      <c r="AF52" s="3155">
        <v>1</v>
      </c>
      <c r="AG52" s="3279"/>
      <c r="AH52" s="3048" t="s">
        <v>67</v>
      </c>
      <c r="AI52" s="3242"/>
      <c r="AJ52" s="3155">
        <v>1</v>
      </c>
      <c r="AK52" s="3243" t="s">
        <v>28</v>
      </c>
      <c r="AL52" s="3048" t="s">
        <v>67</v>
      </c>
      <c r="AM52" s="3145"/>
      <c r="AN52" s="3155">
        <v>1</v>
      </c>
      <c r="AO52" s="3273"/>
      <c r="AP52" s="3274" t="s">
        <v>67</v>
      </c>
      <c r="AQ52" s="246"/>
      <c r="AR52" s="1403">
        <v>1</v>
      </c>
      <c r="AS52" s="1409" t="s">
        <v>28</v>
      </c>
      <c r="AT52" s="685"/>
      <c r="AU52" s="1174"/>
      <c r="AV52" s="685"/>
      <c r="AW52" s="1174"/>
      <c r="AX52" s="1650"/>
      <c r="AY52" s="1386" t="s">
        <v>67</v>
      </c>
      <c r="AZ52" s="1650"/>
      <c r="BA52" s="1386" t="s">
        <v>67</v>
      </c>
      <c r="BB52" s="1265"/>
      <c r="BC52" s="3194" t="s">
        <v>534</v>
      </c>
      <c r="BE52" s="434"/>
      <c r="BF52" s="434" t="str">
        <f t="shared" si="3"/>
        <v/>
      </c>
      <c r="BG52" s="434"/>
      <c r="BH52" s="434"/>
      <c r="BI52" s="1072">
        <v>11</v>
      </c>
    </row>
    <row r="53" spans="1:61" ht="11.5" customHeight="1">
      <c r="A53" s="1280"/>
      <c r="B53" s="1280"/>
      <c r="C53" s="1280"/>
      <c r="D53" s="1280"/>
      <c r="E53" s="3200"/>
      <c r="F53" s="3200"/>
      <c r="G53" s="3200"/>
      <c r="H53" s="3200"/>
      <c r="I53" s="3220"/>
      <c r="J53" s="3220"/>
      <c r="K53" s="3197"/>
      <c r="L53" s="1281"/>
      <c r="P53" s="3198"/>
      <c r="Q53" s="3198"/>
      <c r="R53" s="291"/>
      <c r="S53" s="3258"/>
      <c r="T53" s="3277"/>
      <c r="U53" s="235"/>
      <c r="V53" s="1310"/>
      <c r="W53" s="1413"/>
      <c r="X53" s="1310"/>
      <c r="Y53" s="1413"/>
      <c r="Z53" s="1310"/>
      <c r="AA53" s="1310"/>
      <c r="AB53" s="1310"/>
      <c r="AC53" s="1310"/>
      <c r="AD53" s="3079"/>
      <c r="AE53" s="3242"/>
      <c r="AF53" s="3155"/>
      <c r="AG53" s="3279"/>
      <c r="AH53" s="3048"/>
      <c r="AI53" s="3242"/>
      <c r="AJ53" s="3155"/>
      <c r="AK53" s="3243"/>
      <c r="AL53" s="3048"/>
      <c r="AM53" s="3150"/>
      <c r="AN53" s="3155"/>
      <c r="AO53" s="3273"/>
      <c r="AP53" s="3275"/>
      <c r="AQ53" s="251"/>
      <c r="AR53" s="350"/>
      <c r="AS53" s="350" t="s">
        <v>535</v>
      </c>
      <c r="AT53" s="1310"/>
      <c r="AU53" s="1413"/>
      <c r="AV53" s="1310"/>
      <c r="AW53" s="1413"/>
      <c r="AX53" s="1310"/>
      <c r="AY53" s="1310"/>
      <c r="AZ53" s="1310"/>
      <c r="BA53" s="1310"/>
      <c r="BB53" s="1314"/>
      <c r="BC53" s="3195"/>
      <c r="BE53" s="434"/>
      <c r="BF53" s="434"/>
      <c r="BG53" s="434"/>
      <c r="BH53" s="434"/>
      <c r="BI53" s="1072">
        <v>11</v>
      </c>
    </row>
    <row r="54" spans="1:61" ht="11.5" customHeight="1">
      <c r="A54" s="1280" t="s">
        <v>311</v>
      </c>
      <c r="B54" s="1280"/>
      <c r="C54" s="1280"/>
      <c r="D54" s="1280"/>
      <c r="E54" s="3200"/>
      <c r="F54" s="3200"/>
      <c r="G54" s="3200"/>
      <c r="H54" s="3200"/>
      <c r="I54" s="3220"/>
      <c r="J54" s="3220"/>
      <c r="K54" s="3197"/>
      <c r="L54" s="1281"/>
      <c r="P54" s="3198"/>
      <c r="Q54" s="3198"/>
      <c r="R54" s="291"/>
      <c r="S54" s="3258"/>
      <c r="T54" s="3277"/>
      <c r="U54" s="235"/>
      <c r="V54" s="1310"/>
      <c r="W54" s="1413"/>
      <c r="X54" s="1310"/>
      <c r="Y54" s="1413"/>
      <c r="Z54" s="1310"/>
      <c r="AA54" s="1310"/>
      <c r="AB54" s="1310"/>
      <c r="AC54" s="1310"/>
      <c r="AD54" s="3079"/>
      <c r="AE54" s="3242"/>
      <c r="AF54" s="3155"/>
      <c r="AG54" s="3279"/>
      <c r="AH54" s="3048"/>
      <c r="AI54" s="3242"/>
      <c r="AJ54" s="3155"/>
      <c r="AK54" s="3243"/>
      <c r="AL54" s="3048"/>
      <c r="AM54" s="251"/>
      <c r="AN54" s="1417"/>
      <c r="AO54" s="1417" t="s">
        <v>555</v>
      </c>
      <c r="AP54" s="350"/>
      <c r="AQ54" s="350"/>
      <c r="AR54" s="350"/>
      <c r="AS54" s="1310"/>
      <c r="AT54" s="1310"/>
      <c r="AU54" s="1413"/>
      <c r="AV54" s="1310"/>
      <c r="AW54" s="1413"/>
      <c r="AX54" s="1310"/>
      <c r="AY54" s="1310"/>
      <c r="AZ54" s="1310"/>
      <c r="BA54" s="1310"/>
      <c r="BB54" s="1314"/>
      <c r="BC54" s="3195"/>
      <c r="BE54" s="434"/>
      <c r="BF54" s="434"/>
      <c r="BG54" s="434"/>
      <c r="BH54" s="434"/>
      <c r="BI54" s="1072">
        <v>11</v>
      </c>
    </row>
    <row r="55" spans="1:61" ht="11.5" customHeight="1">
      <c r="A55" s="1280" t="s">
        <v>311</v>
      </c>
      <c r="B55" s="1280"/>
      <c r="C55" s="1280"/>
      <c r="D55" s="1280"/>
      <c r="E55" s="3200"/>
      <c r="F55" s="3200"/>
      <c r="G55" s="3200"/>
      <c r="H55" s="3200"/>
      <c r="I55" s="3220"/>
      <c r="J55" s="3220"/>
      <c r="K55" s="3197"/>
      <c r="L55" s="1281"/>
      <c r="P55" s="3198"/>
      <c r="Q55" s="3198"/>
      <c r="R55" s="291"/>
      <c r="S55" s="3258"/>
      <c r="T55" s="3277"/>
      <c r="U55" s="235"/>
      <c r="V55" s="1310"/>
      <c r="W55" s="1413"/>
      <c r="X55" s="1310"/>
      <c r="Y55" s="1413"/>
      <c r="Z55" s="1310"/>
      <c r="AA55" s="1310"/>
      <c r="AB55" s="1310"/>
      <c r="AC55" s="1310"/>
      <c r="AD55" s="3079"/>
      <c r="AE55" s="3242"/>
      <c r="AF55" s="3155"/>
      <c r="AG55" s="3279"/>
      <c r="AH55" s="3048"/>
      <c r="AI55" s="229"/>
      <c r="AJ55" s="349"/>
      <c r="AK55" s="248" t="s">
        <v>556</v>
      </c>
      <c r="AL55" s="1310"/>
      <c r="AM55" s="1310"/>
      <c r="AN55" s="1310"/>
      <c r="AO55" s="1310"/>
      <c r="AP55" s="1310"/>
      <c r="AQ55" s="1310"/>
      <c r="AR55" s="1310"/>
      <c r="AS55" s="1310"/>
      <c r="AT55" s="1310"/>
      <c r="AU55" s="1413"/>
      <c r="AV55" s="1310"/>
      <c r="AW55" s="1413"/>
      <c r="AX55" s="1310"/>
      <c r="AY55" s="1310"/>
      <c r="AZ55" s="1310"/>
      <c r="BA55" s="1310"/>
      <c r="BB55" s="1314"/>
      <c r="BC55" s="3195"/>
      <c r="BE55" s="434"/>
      <c r="BF55" s="434"/>
      <c r="BG55" s="434"/>
      <c r="BH55" s="434"/>
      <c r="BI55" s="1072">
        <v>11</v>
      </c>
    </row>
    <row r="56" spans="1:61" ht="11.5" customHeight="1">
      <c r="A56" s="1280" t="s">
        <v>311</v>
      </c>
      <c r="B56" s="1280" t="s">
        <v>312</v>
      </c>
      <c r="C56" s="1280" t="s">
        <v>313</v>
      </c>
      <c r="D56" s="1280" t="s">
        <v>562</v>
      </c>
      <c r="E56" s="3200"/>
      <c r="F56" s="3200"/>
      <c r="G56" s="3200"/>
      <c r="H56" s="3200"/>
      <c r="I56" s="3220"/>
      <c r="J56" s="3220"/>
      <c r="K56" s="3197"/>
      <c r="L56" s="1281"/>
      <c r="P56" s="3198"/>
      <c r="Q56" s="3198"/>
      <c r="R56" s="291"/>
      <c r="S56" s="3259"/>
      <c r="T56" s="3278"/>
      <c r="U56" s="235"/>
      <c r="V56" s="1310"/>
      <c r="W56" s="1311" t="str">
        <f>Z52&amp;"-"&amp;AB52</f>
        <v>-</v>
      </c>
      <c r="X56" s="1310"/>
      <c r="Y56" s="1311" t="str">
        <f>AB52&amp;"-"&amp;AD52</f>
        <v>-да</v>
      </c>
      <c r="Z56" s="1310"/>
      <c r="AA56" s="1310"/>
      <c r="AB56" s="1310"/>
      <c r="AC56" s="1310"/>
      <c r="AD56" s="3053"/>
      <c r="AE56" s="247"/>
      <c r="AF56" s="249"/>
      <c r="AG56" s="350" t="s">
        <v>538</v>
      </c>
      <c r="AH56" s="1310"/>
      <c r="AI56" s="1310"/>
      <c r="AJ56" s="1310"/>
      <c r="AK56" s="1310"/>
      <c r="AL56" s="1310"/>
      <c r="AM56" s="1310"/>
      <c r="AN56" s="1310"/>
      <c r="AO56" s="1310"/>
      <c r="AP56" s="1310"/>
      <c r="AQ56" s="1310"/>
      <c r="AR56" s="1310"/>
      <c r="AS56" s="1310"/>
      <c r="AT56" s="1310"/>
      <c r="AU56" s="1311" t="str">
        <f>AX52&amp;"-"&amp;AZ52</f>
        <v>-</v>
      </c>
      <c r="AV56" s="1310"/>
      <c r="AW56" s="1311" t="str">
        <f>AZ52&amp;"-"&amp;BB52</f>
        <v>-</v>
      </c>
      <c r="AX56" s="1310"/>
      <c r="AY56" s="1310"/>
      <c r="AZ56" s="1310"/>
      <c r="BA56" s="1310"/>
      <c r="BB56" s="1313" t="str">
        <f>BE52&amp;"-"&amp;BG52</f>
        <v>-</v>
      </c>
      <c r="BC56" s="3195"/>
      <c r="BE56" s="434"/>
      <c r="BF56" s="434" t="str">
        <f t="shared" ref="BF56:BF63" si="4">IF(T56="","",T56)</f>
        <v/>
      </c>
      <c r="BG56" s="434"/>
      <c r="BH56" s="434"/>
      <c r="BI56" s="1072">
        <v>11</v>
      </c>
    </row>
    <row r="57" spans="1:61" ht="11.5" customHeight="1">
      <c r="A57" s="1280" t="s">
        <v>311</v>
      </c>
      <c r="B57" s="1280" t="s">
        <v>312</v>
      </c>
      <c r="C57" s="1280" t="s">
        <v>313</v>
      </c>
      <c r="D57" s="1280" t="s">
        <v>562</v>
      </c>
      <c r="E57" s="3200"/>
      <c r="F57" s="3200"/>
      <c r="G57" s="3200"/>
      <c r="H57" s="3200"/>
      <c r="I57" s="3220"/>
      <c r="J57" s="3197"/>
      <c r="K57" s="1280"/>
      <c r="L57" s="1281"/>
      <c r="P57" s="3198"/>
      <c r="Q57" s="3198"/>
      <c r="R57" s="290"/>
      <c r="S57" s="1195"/>
      <c r="T57" s="222" t="s">
        <v>501</v>
      </c>
      <c r="U57" s="301"/>
      <c r="V57" s="301"/>
      <c r="W57" s="301"/>
      <c r="X57" s="301"/>
      <c r="Y57" s="301"/>
      <c r="Z57" s="301"/>
      <c r="AA57" s="301"/>
      <c r="AB57" s="301"/>
      <c r="AC57" s="259"/>
      <c r="AD57" s="1422"/>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259"/>
      <c r="BC57" s="3196"/>
      <c r="BE57" s="434"/>
      <c r="BF57" s="434" t="str">
        <f t="shared" si="4"/>
        <v>Добавить строку</v>
      </c>
      <c r="BG57" s="434"/>
      <c r="BH57" s="434"/>
      <c r="BI57" s="1072">
        <v>11</v>
      </c>
    </row>
    <row r="58" spans="1:61" s="2017" customFormat="1" ht="0" hidden="1" customHeight="1">
      <c r="A58" s="1260" t="s">
        <v>311</v>
      </c>
      <c r="B58" s="1260" t="s">
        <v>312</v>
      </c>
      <c r="C58" s="1260" t="s">
        <v>313</v>
      </c>
      <c r="D58" s="1260" t="s">
        <v>562</v>
      </c>
      <c r="E58" s="3200"/>
      <c r="F58" s="3200"/>
      <c r="G58" s="3200"/>
      <c r="H58" s="3200"/>
      <c r="I58" s="3197"/>
      <c r="J58" s="1260"/>
      <c r="K58" s="1260"/>
      <c r="L58" s="1263"/>
      <c r="M58" s="444"/>
      <c r="N58" s="444"/>
      <c r="O58" s="444"/>
      <c r="P58" s="3198"/>
      <c r="Q58" s="1398"/>
      <c r="R58" s="290"/>
      <c r="S58" s="1303"/>
      <c r="T58" s="1304"/>
      <c r="U58" s="1305"/>
      <c r="V58" s="1305"/>
      <c r="W58" s="1305"/>
      <c r="X58" s="1305"/>
      <c r="Y58" s="1305"/>
      <c r="Z58" s="1305"/>
      <c r="AA58" s="1305"/>
      <c r="AB58" s="1305"/>
      <c r="AC58" s="1305"/>
      <c r="AD58" s="1305"/>
      <c r="AE58" s="1305"/>
      <c r="AF58" s="1305"/>
      <c r="AG58" s="1305"/>
      <c r="AH58" s="1305"/>
      <c r="AI58" s="1305"/>
      <c r="AJ58" s="1305"/>
      <c r="AK58" s="1305"/>
      <c r="AL58" s="1305"/>
      <c r="AM58" s="1305"/>
      <c r="AN58" s="1305"/>
      <c r="AO58" s="1305"/>
      <c r="AP58" s="1305"/>
      <c r="AQ58" s="1305"/>
      <c r="AR58" s="1305"/>
      <c r="AS58" s="1305"/>
      <c r="AT58" s="1305"/>
      <c r="AU58" s="1305"/>
      <c r="AV58" s="1305"/>
      <c r="AW58" s="1305"/>
      <c r="AX58" s="1305"/>
      <c r="AY58" s="1305"/>
      <c r="AZ58" s="1305"/>
      <c r="BA58" s="1305"/>
      <c r="BB58" s="1305"/>
      <c r="BC58" s="1306"/>
      <c r="BE58" s="434"/>
      <c r="BF58" s="434" t="str">
        <f t="shared" si="4"/>
        <v/>
      </c>
      <c r="BG58" s="434"/>
      <c r="BH58" s="434"/>
      <c r="BI58" s="445">
        <v>0</v>
      </c>
    </row>
    <row r="59" spans="1:61" s="2017" customFormat="1" ht="0" hidden="1" customHeight="1">
      <c r="A59" s="1260" t="s">
        <v>311</v>
      </c>
      <c r="B59" s="1260" t="s">
        <v>312</v>
      </c>
      <c r="C59" s="1260" t="s">
        <v>313</v>
      </c>
      <c r="D59" s="1260" t="s">
        <v>562</v>
      </c>
      <c r="E59" s="3200"/>
      <c r="F59" s="3200"/>
      <c r="G59" s="3200"/>
      <c r="H59" s="3199"/>
      <c r="I59" s="1260"/>
      <c r="J59" s="1260"/>
      <c r="K59" s="1260"/>
      <c r="L59" s="1263"/>
      <c r="M59" s="1232"/>
      <c r="N59" s="1232"/>
      <c r="O59" s="452"/>
      <c r="P59" s="314"/>
      <c r="Q59" s="1261"/>
      <c r="R59" s="1318"/>
      <c r="S59" s="1303"/>
      <c r="T59" s="1304"/>
      <c r="U59" s="1305"/>
      <c r="V59" s="1305"/>
      <c r="W59" s="1305"/>
      <c r="X59" s="1305"/>
      <c r="Y59" s="1305"/>
      <c r="Z59" s="1305"/>
      <c r="AA59" s="1305"/>
      <c r="AB59" s="1305"/>
      <c r="AC59" s="1305"/>
      <c r="AD59" s="1305"/>
      <c r="AE59" s="1305"/>
      <c r="AF59" s="1305"/>
      <c r="AG59" s="1305"/>
      <c r="AH59" s="1305"/>
      <c r="AI59" s="1305"/>
      <c r="AJ59" s="1305"/>
      <c r="AK59" s="1305"/>
      <c r="AL59" s="1305"/>
      <c r="AM59" s="1305"/>
      <c r="AN59" s="1305"/>
      <c r="AO59" s="1305"/>
      <c r="AP59" s="1305"/>
      <c r="AQ59" s="1305"/>
      <c r="AR59" s="1305"/>
      <c r="AS59" s="1305"/>
      <c r="AT59" s="1305"/>
      <c r="AU59" s="1305"/>
      <c r="AV59" s="1305"/>
      <c r="AW59" s="1305"/>
      <c r="AX59" s="1305"/>
      <c r="AY59" s="1305"/>
      <c r="AZ59" s="1305"/>
      <c r="BA59" s="1305"/>
      <c r="BB59" s="1305"/>
      <c r="BC59" s="1306"/>
      <c r="BE59" s="434"/>
      <c r="BF59" s="434" t="str">
        <f t="shared" si="4"/>
        <v/>
      </c>
      <c r="BG59" s="434"/>
      <c r="BH59" s="434"/>
      <c r="BI59" s="445">
        <v>0</v>
      </c>
    </row>
    <row r="60" spans="1:61" s="2017" customFormat="1" ht="0" hidden="1" customHeight="1">
      <c r="A60" s="1260" t="s">
        <v>311</v>
      </c>
      <c r="B60" s="1260" t="s">
        <v>312</v>
      </c>
      <c r="C60" s="1260" t="s">
        <v>313</v>
      </c>
      <c r="D60" s="1231"/>
      <c r="E60" s="3200"/>
      <c r="F60" s="3200"/>
      <c r="G60" s="3199"/>
      <c r="H60" s="1231"/>
      <c r="I60" s="1231"/>
      <c r="J60" s="1231"/>
      <c r="K60" s="1231"/>
      <c r="L60" s="1411"/>
      <c r="M60" s="1232"/>
      <c r="N60" s="1232"/>
      <c r="P60" s="1233"/>
      <c r="Q60" s="1234"/>
      <c r="R60" s="1233"/>
      <c r="S60" s="1239"/>
      <c r="T60" s="1242"/>
      <c r="U60" s="1241"/>
      <c r="V60" s="1241"/>
      <c r="W60" s="1241"/>
      <c r="X60" s="1241"/>
      <c r="Y60" s="1241"/>
      <c r="Z60" s="1241"/>
      <c r="AA60" s="1241"/>
      <c r="AB60" s="1241"/>
      <c r="AC60" s="1241"/>
      <c r="AD60" s="1241"/>
      <c r="AE60" s="1241"/>
      <c r="AF60" s="1241"/>
      <c r="AG60" s="1241"/>
      <c r="AH60" s="1241"/>
      <c r="AI60" s="1241"/>
      <c r="AJ60" s="1241"/>
      <c r="AK60" s="1241"/>
      <c r="AL60" s="1241"/>
      <c r="AM60" s="1241"/>
      <c r="AN60" s="1241"/>
      <c r="AO60" s="1241"/>
      <c r="AP60" s="1241"/>
      <c r="AQ60" s="1241"/>
      <c r="AR60" s="1241"/>
      <c r="AS60" s="1241"/>
      <c r="AT60" s="1241"/>
      <c r="AU60" s="1241"/>
      <c r="AV60" s="1241"/>
      <c r="AW60" s="1241"/>
      <c r="AX60" s="1241"/>
      <c r="AY60" s="1241"/>
      <c r="AZ60" s="1241"/>
      <c r="BA60" s="1241"/>
      <c r="BB60" s="1241"/>
      <c r="BC60" s="1241"/>
      <c r="BE60" s="717"/>
      <c r="BF60" s="717" t="str">
        <f t="shared" si="4"/>
        <v/>
      </c>
      <c r="BG60" s="717"/>
      <c r="BH60" s="717"/>
      <c r="BI60" s="452">
        <v>0</v>
      </c>
    </row>
    <row r="61" spans="1:61" s="2017" customFormat="1" ht="0" hidden="1" customHeight="1">
      <c r="A61" s="1260" t="s">
        <v>311</v>
      </c>
      <c r="B61" s="1260" t="s">
        <v>312</v>
      </c>
      <c r="C61" s="1231"/>
      <c r="D61" s="1231"/>
      <c r="E61" s="3200"/>
      <c r="F61" s="3199"/>
      <c r="G61" s="1231"/>
      <c r="H61" s="1231"/>
      <c r="I61" s="1231"/>
      <c r="J61" s="1231"/>
      <c r="K61" s="1231"/>
      <c r="L61" s="1411"/>
      <c r="M61" s="1238"/>
      <c r="N61" s="1238"/>
      <c r="P61" s="1233"/>
      <c r="Q61" s="1234"/>
      <c r="R61" s="1233"/>
      <c r="S61" s="1239"/>
      <c r="T61" s="1242" t="s">
        <v>181</v>
      </c>
      <c r="U61" s="1241"/>
      <c r="V61" s="1241"/>
      <c r="W61" s="1241"/>
      <c r="X61" s="1241"/>
      <c r="Y61" s="1241"/>
      <c r="Z61" s="1241"/>
      <c r="AA61" s="1241"/>
      <c r="AB61" s="1241"/>
      <c r="AC61" s="1241"/>
      <c r="AD61" s="1241"/>
      <c r="AE61" s="1241"/>
      <c r="AF61" s="1241"/>
      <c r="AG61" s="1241"/>
      <c r="AH61" s="1241"/>
      <c r="AI61" s="1241"/>
      <c r="AJ61" s="1241"/>
      <c r="AK61" s="1241"/>
      <c r="AL61" s="1241"/>
      <c r="AM61" s="1241"/>
      <c r="AN61" s="1241"/>
      <c r="AO61" s="1241"/>
      <c r="AP61" s="1241"/>
      <c r="AQ61" s="1241"/>
      <c r="AR61" s="1241"/>
      <c r="AS61" s="1241"/>
      <c r="AT61" s="1241"/>
      <c r="AU61" s="1241"/>
      <c r="AV61" s="1241"/>
      <c r="AW61" s="1241"/>
      <c r="AX61" s="1241"/>
      <c r="AY61" s="1241"/>
      <c r="AZ61" s="1241"/>
      <c r="BA61" s="1241"/>
      <c r="BB61" s="1241"/>
      <c r="BC61" s="1241"/>
      <c r="BE61" s="717"/>
      <c r="BF61" s="717" t="str">
        <f t="shared" si="4"/>
        <v>Добавить централизованную систему для дифференциации</v>
      </c>
      <c r="BG61" s="717"/>
      <c r="BH61" s="717"/>
      <c r="BI61" s="452">
        <v>0</v>
      </c>
    </row>
    <row r="62" spans="1:61" s="2017" customFormat="1" ht="0" hidden="1" customHeight="1">
      <c r="A62" s="1260" t="s">
        <v>311</v>
      </c>
      <c r="B62" s="1260"/>
      <c r="C62" s="1260"/>
      <c r="D62" s="1260"/>
      <c r="E62" s="3199"/>
      <c r="F62" s="1260"/>
      <c r="G62" s="1260"/>
      <c r="H62" s="1260"/>
      <c r="I62" s="1260"/>
      <c r="J62" s="1260"/>
      <c r="K62" s="1260"/>
      <c r="L62" s="1263"/>
      <c r="M62" s="1238"/>
      <c r="N62" s="1238"/>
      <c r="O62" s="452"/>
      <c r="P62" s="314"/>
      <c r="Q62" s="1261"/>
      <c r="R62" s="314"/>
      <c r="S62" s="1239"/>
      <c r="T62" s="1242" t="s">
        <v>188</v>
      </c>
      <c r="U62" s="1241"/>
      <c r="V62" s="1241"/>
      <c r="W62" s="1241"/>
      <c r="X62" s="1241"/>
      <c r="Y62" s="1241"/>
      <c r="Z62" s="1241"/>
      <c r="AA62" s="1241"/>
      <c r="AB62" s="1241"/>
      <c r="AC62" s="1241"/>
      <c r="AD62" s="1241"/>
      <c r="AE62" s="1241"/>
      <c r="AF62" s="1241"/>
      <c r="AG62" s="1241"/>
      <c r="AH62" s="1241"/>
      <c r="AI62" s="1241"/>
      <c r="AJ62" s="1241"/>
      <c r="AK62" s="1241"/>
      <c r="AL62" s="1241"/>
      <c r="AM62" s="1241"/>
      <c r="AN62" s="1241"/>
      <c r="AO62" s="1241"/>
      <c r="AP62" s="1241"/>
      <c r="AQ62" s="1241"/>
      <c r="AR62" s="1241"/>
      <c r="AS62" s="1241"/>
      <c r="AT62" s="1241"/>
      <c r="AU62" s="1241"/>
      <c r="AV62" s="1241"/>
      <c r="AW62" s="1241"/>
      <c r="AX62" s="1241"/>
      <c r="AY62" s="1241"/>
      <c r="AZ62" s="1241"/>
      <c r="BA62" s="1241"/>
      <c r="BB62" s="1241"/>
      <c r="BC62" s="1241"/>
      <c r="BE62" s="434"/>
      <c r="BF62" s="434" t="str">
        <f t="shared" si="4"/>
        <v>Добавить территорию для дифференциации</v>
      </c>
      <c r="BG62" s="434"/>
      <c r="BH62" s="434"/>
      <c r="BI62" s="445">
        <v>0</v>
      </c>
    </row>
    <row r="63" spans="1:61" s="2017" customFormat="1" ht="0" hidden="1" customHeight="1">
      <c r="A63" s="1231"/>
      <c r="B63" s="1231"/>
      <c r="C63" s="1231"/>
      <c r="D63" s="1231"/>
      <c r="E63" s="1260"/>
      <c r="F63" s="1231"/>
      <c r="G63" s="1231"/>
      <c r="H63" s="1231"/>
      <c r="I63" s="1231"/>
      <c r="J63" s="1231"/>
      <c r="K63" s="1231"/>
      <c r="L63" s="1411"/>
      <c r="M63" s="1238"/>
      <c r="N63" s="1238"/>
      <c r="P63" s="1233"/>
      <c r="Q63" s="1234"/>
      <c r="R63" s="1233"/>
      <c r="S63" s="1239"/>
      <c r="T63" s="1242" t="s">
        <v>189</v>
      </c>
      <c r="U63" s="1241"/>
      <c r="V63" s="1241"/>
      <c r="W63" s="1241"/>
      <c r="X63" s="1241"/>
      <c r="Y63" s="1241"/>
      <c r="Z63" s="1241"/>
      <c r="AA63" s="1241"/>
      <c r="AB63" s="1241"/>
      <c r="AC63" s="1241"/>
      <c r="AD63" s="1241"/>
      <c r="AE63" s="1241"/>
      <c r="AF63" s="1241"/>
      <c r="AG63" s="1241"/>
      <c r="AH63" s="1241"/>
      <c r="AI63" s="1241"/>
      <c r="AJ63" s="1241"/>
      <c r="AK63" s="1241"/>
      <c r="AL63" s="1241"/>
      <c r="AM63" s="1241"/>
      <c r="AN63" s="1241"/>
      <c r="AO63" s="1241"/>
      <c r="AP63" s="1241"/>
      <c r="AQ63" s="1241"/>
      <c r="AR63" s="1241"/>
      <c r="AS63" s="1241"/>
      <c r="AT63" s="1241"/>
      <c r="AU63" s="1241"/>
      <c r="AV63" s="1241"/>
      <c r="AW63" s="1241"/>
      <c r="AX63" s="1241"/>
      <c r="AY63" s="1241"/>
      <c r="AZ63" s="1241"/>
      <c r="BA63" s="1241"/>
      <c r="BB63" s="1241"/>
      <c r="BC63" s="1241"/>
      <c r="BE63" s="717"/>
      <c r="BF63" s="717" t="str">
        <f t="shared" si="4"/>
        <v>Добавить наименование тарифа</v>
      </c>
      <c r="BG63" s="717"/>
      <c r="BH63" s="717"/>
      <c r="BI63" s="452">
        <v>0</v>
      </c>
    </row>
    <row r="64" spans="1:61" ht="11.5" customHeight="1">
      <c r="M64" s="1077"/>
      <c r="N64" s="1077"/>
      <c r="O64" s="471"/>
      <c r="P64" s="1077"/>
      <c r="Q64" s="1077"/>
      <c r="R64" s="1072"/>
      <c r="S64" s="1072"/>
      <c r="BD64" s="1072"/>
      <c r="BE64" s="1072"/>
      <c r="BF64" s="1072"/>
      <c r="BG64" s="1072"/>
      <c r="BH64" s="1072"/>
      <c r="BI64" s="1072">
        <v>11</v>
      </c>
    </row>
    <row r="65" spans="1:61" ht="14.65" customHeight="1">
      <c r="O65" s="471"/>
      <c r="S65" s="1170"/>
      <c r="T65" s="3219"/>
      <c r="U65" s="3219"/>
      <c r="V65" s="3219"/>
      <c r="W65" s="3219"/>
      <c r="X65" s="3219"/>
      <c r="Y65" s="3219"/>
      <c r="Z65" s="3219"/>
      <c r="AA65" s="3219"/>
      <c r="AB65" s="3219"/>
      <c r="AC65" s="3219"/>
      <c r="AD65" s="3219"/>
      <c r="AE65" s="3219"/>
      <c r="AF65" s="3219"/>
      <c r="AG65" s="3219"/>
      <c r="AH65" s="3219"/>
      <c r="AI65" s="3219"/>
      <c r="AJ65" s="3219"/>
      <c r="AK65" s="3219"/>
      <c r="AL65" s="3219"/>
      <c r="AM65" s="3219"/>
      <c r="AN65" s="3219"/>
      <c r="AO65" s="3219"/>
      <c r="AP65" s="3219"/>
      <c r="AQ65" s="3219"/>
      <c r="AR65" s="3219"/>
      <c r="AS65" s="3219"/>
      <c r="AT65" s="3219"/>
      <c r="AU65" s="3219"/>
      <c r="AV65" s="3219"/>
      <c r="AW65" s="3219"/>
      <c r="AX65" s="3219"/>
      <c r="AY65" s="3219"/>
      <c r="AZ65" s="3219"/>
      <c r="BA65" s="3219"/>
      <c r="BB65" s="3219"/>
      <c r="BC65" s="3219"/>
      <c r="BI65" s="1072">
        <v>14</v>
      </c>
    </row>
    <row r="66" spans="1:61" ht="14.65" customHeight="1">
      <c r="O66" s="471"/>
      <c r="T66" s="1397"/>
      <c r="U66" s="1397"/>
      <c r="V66" s="1397"/>
      <c r="W66" s="1397"/>
      <c r="X66" s="1397"/>
      <c r="Y66" s="1397"/>
      <c r="Z66" s="1397"/>
      <c r="AA66" s="1397"/>
      <c r="AB66" s="1397"/>
      <c r="AC66" s="1397"/>
      <c r="AD66" s="1397"/>
      <c r="AE66" s="1397"/>
      <c r="AF66" s="1397"/>
      <c r="AG66" s="1397"/>
      <c r="AH66" s="1397"/>
      <c r="AI66" s="1397"/>
      <c r="AJ66" s="1397"/>
      <c r="AK66" s="1397"/>
      <c r="AL66" s="1397"/>
      <c r="AM66" s="1397"/>
      <c r="AN66" s="1397"/>
      <c r="AO66" s="1397"/>
      <c r="AP66" s="1397"/>
      <c r="AQ66" s="1397"/>
      <c r="AR66" s="1397"/>
      <c r="AS66" s="1397"/>
      <c r="AT66" s="1397"/>
      <c r="AU66" s="1397"/>
      <c r="AV66" s="1397"/>
      <c r="AW66" s="1397"/>
      <c r="AX66" s="1397"/>
      <c r="AY66" s="1397"/>
      <c r="AZ66" s="1397"/>
      <c r="BA66" s="1397"/>
      <c r="BB66" s="1397"/>
      <c r="BC66" s="1397"/>
      <c r="BI66" s="1072">
        <v>14</v>
      </c>
    </row>
    <row r="67" spans="1:61" ht="14.65" customHeight="1">
      <c r="O67" s="471"/>
      <c r="S67" s="1170"/>
      <c r="T67" s="3219"/>
      <c r="U67" s="3219"/>
      <c r="V67" s="3219"/>
      <c r="W67" s="3219"/>
      <c r="X67" s="3219"/>
      <c r="Y67" s="3219"/>
      <c r="Z67" s="3219"/>
      <c r="AA67" s="3219"/>
      <c r="AB67" s="3219"/>
      <c r="AC67" s="3219"/>
      <c r="AD67" s="3219"/>
      <c r="AE67" s="3219"/>
      <c r="AF67" s="3219"/>
      <c r="AG67" s="3219"/>
      <c r="AH67" s="3219"/>
      <c r="AI67" s="3219"/>
      <c r="AJ67" s="3219"/>
      <c r="AK67" s="3219"/>
      <c r="AL67" s="3219"/>
      <c r="AM67" s="3219"/>
      <c r="AN67" s="3219"/>
      <c r="AO67" s="3219"/>
      <c r="AP67" s="3219"/>
      <c r="AQ67" s="3219"/>
      <c r="AR67" s="3219"/>
      <c r="AS67" s="3219"/>
      <c r="AT67" s="3219"/>
      <c r="AU67" s="3219"/>
      <c r="AV67" s="3219"/>
      <c r="AW67" s="3219"/>
      <c r="AX67" s="3219"/>
      <c r="AY67" s="3219"/>
      <c r="AZ67" s="3219"/>
      <c r="BA67" s="3219"/>
      <c r="BB67" s="3219"/>
      <c r="BC67" s="3219"/>
      <c r="BI67" s="1072">
        <v>14</v>
      </c>
    </row>
    <row r="68" spans="1:61" ht="14.65" customHeight="1">
      <c r="O68" s="471"/>
      <c r="BI68" s="1072">
        <v>14</v>
      </c>
    </row>
    <row r="69" spans="1:61" ht="14.25" hidden="1" customHeight="1">
      <c r="A69" s="1077" t="s">
        <v>83</v>
      </c>
      <c r="B69" s="1077">
        <v>0</v>
      </c>
      <c r="C69" s="1077">
        <v>0</v>
      </c>
      <c r="D69" s="1077">
        <v>0</v>
      </c>
      <c r="E69" s="1077">
        <v>0</v>
      </c>
      <c r="F69" s="1077">
        <v>0</v>
      </c>
      <c r="G69" s="1077">
        <v>0</v>
      </c>
      <c r="H69" s="1077">
        <v>0</v>
      </c>
      <c r="I69" s="1077">
        <v>0</v>
      </c>
      <c r="J69" s="1077">
        <v>0</v>
      </c>
      <c r="K69" s="1077">
        <v>0</v>
      </c>
      <c r="L69" s="1395">
        <v>0</v>
      </c>
      <c r="M69" s="1279">
        <v>0</v>
      </c>
      <c r="N69" s="1279">
        <v>0</v>
      </c>
      <c r="O69" s="1279">
        <v>0</v>
      </c>
      <c r="P69" s="1279">
        <v>0</v>
      </c>
      <c r="Q69" s="1288">
        <v>0</v>
      </c>
      <c r="R69" s="279">
        <v>3</v>
      </c>
      <c r="S69" s="515">
        <v>12</v>
      </c>
      <c r="T69" s="1072">
        <v>31</v>
      </c>
      <c r="U69" s="1072">
        <v>0</v>
      </c>
      <c r="V69" s="1072">
        <v>0</v>
      </c>
      <c r="W69" s="1072">
        <v>0</v>
      </c>
      <c r="X69" s="1072">
        <v>0</v>
      </c>
      <c r="Y69" s="1072">
        <v>0</v>
      </c>
      <c r="Z69" s="1072">
        <v>0</v>
      </c>
      <c r="AA69" s="1072">
        <v>0</v>
      </c>
      <c r="AB69" s="1072">
        <v>0</v>
      </c>
      <c r="AC69" s="1072">
        <v>0</v>
      </c>
      <c r="AD69" s="1072">
        <v>3</v>
      </c>
      <c r="AE69" s="1072">
        <v>3</v>
      </c>
      <c r="AF69" s="1072">
        <v>3</v>
      </c>
      <c r="AG69" s="1072">
        <v>24</v>
      </c>
      <c r="AH69" s="1072">
        <v>3</v>
      </c>
      <c r="AI69" s="1072">
        <v>3</v>
      </c>
      <c r="AJ69" s="1072">
        <v>3</v>
      </c>
      <c r="AK69" s="1072">
        <v>24</v>
      </c>
      <c r="AL69" s="1072">
        <v>3</v>
      </c>
      <c r="AM69" s="1072">
        <v>3</v>
      </c>
      <c r="AN69" s="1072">
        <v>3</v>
      </c>
      <c r="AO69" s="1072">
        <v>18</v>
      </c>
      <c r="AP69" s="1072">
        <v>3</v>
      </c>
      <c r="AQ69" s="1072">
        <v>3</v>
      </c>
      <c r="AR69" s="1072">
        <v>3</v>
      </c>
      <c r="AS69" s="1072">
        <v>18</v>
      </c>
      <c r="AT69" s="1072">
        <v>21</v>
      </c>
      <c r="AU69" s="1072">
        <v>21</v>
      </c>
      <c r="AV69" s="1072">
        <v>21</v>
      </c>
      <c r="AW69" s="1072">
        <v>21</v>
      </c>
      <c r="AX69" s="1072">
        <v>11</v>
      </c>
      <c r="AY69" s="1072">
        <v>3</v>
      </c>
      <c r="AZ69" s="1072">
        <v>11</v>
      </c>
      <c r="BA69" s="1072">
        <v>0</v>
      </c>
      <c r="BB69" s="1072">
        <v>4</v>
      </c>
      <c r="BC69" s="1072">
        <v>115</v>
      </c>
      <c r="BD69" s="445">
        <v>10</v>
      </c>
      <c r="BE69" s="445">
        <v>10</v>
      </c>
      <c r="BF69" s="445">
        <v>10</v>
      </c>
      <c r="BG69" s="445">
        <v>10</v>
      </c>
      <c r="BH69" s="445">
        <v>10</v>
      </c>
      <c r="BI69" s="1072">
        <v>23</v>
      </c>
    </row>
  </sheetData>
  <sheetProtection formatColumns="0" formatRows="0" insertRows="0" deleteColumns="0" deleteRows="0" sort="0" autoFilter="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xr:uid="{00000000-0002-0000-1C00-000000000000}">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xr:uid="{00000000-0002-0000-1C00-000001000000}">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xr:uid="{00000000-0002-0000-1C00-000002000000}"/>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xr:uid="{00000000-0002-0000-1C00-000003000000}"/>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xr:uid="{00000000-0002-0000-1C00-000004000000}">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xr:uid="{00000000-0002-0000-1C00-000005000000}"/>
    <dataValidation type="decimal" allowBlank="1" showErrorMessage="1" errorTitle="Ошибка" error="Допускается ввод только действительных чисел!" sqref="AO52:AO53 AG8:AG11 AO8:AO9 AG52:AG55" xr:uid="{00000000-0002-0000-1C00-000006000000}">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xr:uid="{00000000-0002-0000-1C00-000007000000}">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xr:uid="{00000000-0002-0000-1C00-000008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21F65C-8847-37DC-EAF6-7600010F0002}">
  <sheetPr>
    <tabColor theme="6" tint="0.39997558519241921"/>
  </sheetPr>
  <dimension ref="A1:AY59"/>
  <sheetViews>
    <sheetView showGridLines="0" topLeftCell="P23" zoomScale="90" workbookViewId="0"/>
  </sheetViews>
  <sheetFormatPr defaultColWidth="10.59765625" defaultRowHeight="14.25" customHeight="1"/>
  <cols>
    <col min="1" max="1" width="10.59765625" style="2016" hidden="1"/>
    <col min="2" max="2" width="11" style="2016" hidden="1" customWidth="1"/>
    <col min="3" max="3" width="10.59765625" style="2016" hidden="1"/>
    <col min="4" max="4" width="11.796875" style="2016" hidden="1" customWidth="1"/>
    <col min="5" max="5" width="10" style="2016" hidden="1" customWidth="1"/>
    <col min="6" max="6" width="8.69921875" style="2016" hidden="1" customWidth="1"/>
    <col min="7" max="7" width="7.59765625" style="2016" hidden="1" customWidth="1"/>
    <col min="8" max="8" width="11.3984375" style="2016" hidden="1" customWidth="1"/>
    <col min="9" max="9" width="14.09765625" style="2016" hidden="1" customWidth="1"/>
    <col min="10" max="10" width="9.796875" style="2016" hidden="1" customWidth="1"/>
    <col min="11" max="11" width="14.69921875" style="2016" hidden="1" customWidth="1"/>
    <col min="12" max="12" width="19.09765625" style="2216" hidden="1" customWidth="1"/>
    <col min="13" max="14" width="12.296875" style="2006" hidden="1" customWidth="1"/>
    <col min="15" max="15" width="23.3984375" style="2006" hidden="1" customWidth="1"/>
    <col min="16" max="16" width="3" style="2217" customWidth="1"/>
    <col min="17" max="18" width="3" style="2215" customWidth="1"/>
    <col min="19" max="19" width="12" style="2218" customWidth="1"/>
    <col min="20" max="20" width="35" style="2004" customWidth="1"/>
    <col min="21" max="21" width="9.765625E-2" style="2004" customWidth="1"/>
    <col min="22" max="28" width="19.69921875" style="2004" hidden="1" customWidth="1"/>
    <col min="29" max="29" width="11.69921875" style="2004" hidden="1" customWidth="1"/>
    <col min="30" max="30" width="3.69921875" style="2004" hidden="1" customWidth="1"/>
    <col min="31" max="31" width="11.69921875" style="2004" hidden="1" customWidth="1"/>
    <col min="32" max="32" width="8.59765625" style="2004" hidden="1" customWidth="1"/>
    <col min="33" max="33" width="19.69921875" style="2004" customWidth="1"/>
    <col min="34" max="39" width="19" style="2004" customWidth="1"/>
    <col min="40" max="40" width="11" style="2004" customWidth="1"/>
    <col min="41" max="41" width="3.69921875" style="2004" customWidth="1"/>
    <col min="42" max="42" width="11" style="2004" customWidth="1"/>
    <col min="43" max="43" width="8.59765625" style="2004" hidden="1" customWidth="1"/>
    <col min="44" max="44" width="4" style="2004" customWidth="1"/>
    <col min="45" max="45" width="115" style="2004" customWidth="1"/>
    <col min="46" max="50" width="10" style="2017" customWidth="1"/>
    <col min="51" max="51" width="10.59765625" style="2004" hidden="1"/>
  </cols>
  <sheetData>
    <row r="1" spans="1:51" ht="22.5" hidden="1" customHeight="1">
      <c r="AC1" s="262"/>
      <c r="AN1" s="262"/>
      <c r="AY1" s="1072" t="s">
        <v>14</v>
      </c>
    </row>
    <row r="2" spans="1:51" ht="23.25" hidden="1" customHeight="1">
      <c r="A2" s="1280"/>
      <c r="B2" s="1280"/>
      <c r="C2" s="1280"/>
      <c r="D2" s="1280"/>
      <c r="E2" s="3199">
        <v>1</v>
      </c>
      <c r="F2" s="1280"/>
      <c r="G2" s="1280"/>
      <c r="H2" s="1280"/>
      <c r="I2" s="1280"/>
      <c r="J2" s="1280"/>
      <c r="K2" s="1280"/>
      <c r="L2" s="1281"/>
      <c r="M2" s="1282"/>
      <c r="N2" s="1282"/>
      <c r="O2" s="1282"/>
      <c r="P2" s="295"/>
      <c r="Q2" s="294"/>
      <c r="R2" s="289"/>
      <c r="S2" s="1410" t="e">
        <f>INDEX(PT_DIFFERENTIATION_NUM_NTAR,MATCH(A2,PT_DIFFERENTIATION_NTAR_ID,0))</f>
        <v>#N/A</v>
      </c>
      <c r="T2" s="233" t="s">
        <v>137</v>
      </c>
      <c r="U2" s="235"/>
      <c r="V2" s="3185"/>
      <c r="W2" s="3186"/>
      <c r="X2" s="3186"/>
      <c r="Y2" s="3186"/>
      <c r="Z2" s="3186"/>
      <c r="AA2" s="3186"/>
      <c r="AB2" s="3186"/>
      <c r="AC2" s="3186"/>
      <c r="AD2" s="3186"/>
      <c r="AE2" s="3186"/>
      <c r="AF2" s="3187"/>
      <c r="AG2" s="3185" t="e">
        <f>INDEX(PT_DIFFERENTIATION_NTAR,MATCH(A2,PT_DIFFERENTIATION_NTAR_ID,0))</f>
        <v>#N/A</v>
      </c>
      <c r="AH2" s="3186"/>
      <c r="AI2" s="3186"/>
      <c r="AJ2" s="3186"/>
      <c r="AK2" s="3186"/>
      <c r="AL2" s="3186"/>
      <c r="AM2" s="3186"/>
      <c r="AN2" s="3186"/>
      <c r="AO2" s="3186"/>
      <c r="AP2" s="3186"/>
      <c r="AQ2" s="3186"/>
      <c r="AR2" s="3187"/>
      <c r="AS2"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434"/>
      <c r="AV2" s="434" t="str">
        <f t="shared" ref="AV2:AV13" si="0">IF(T2="","",T2)</f>
        <v>Наименование тарифа</v>
      </c>
      <c r="AW2" s="434"/>
      <c r="AX2" s="434"/>
      <c r="AY2" s="1072">
        <v>0</v>
      </c>
    </row>
    <row r="3" spans="1:51" ht="23.25" hidden="1" customHeight="1">
      <c r="A3" s="1280"/>
      <c r="B3" s="1280"/>
      <c r="C3" s="1280"/>
      <c r="D3" s="1280"/>
      <c r="E3" s="3200"/>
      <c r="F3" s="3199">
        <v>1</v>
      </c>
      <c r="G3" s="1280"/>
      <c r="H3" s="1280"/>
      <c r="I3" s="1280"/>
      <c r="J3" s="1280"/>
      <c r="K3" s="1280"/>
      <c r="L3" s="1281"/>
      <c r="M3" s="1282"/>
      <c r="N3" s="1282"/>
      <c r="O3" s="1282"/>
      <c r="P3" s="1404"/>
      <c r="Q3" s="286"/>
      <c r="R3" s="287"/>
      <c r="S3" s="1410" t="e">
        <f>INDEX(PT_DIFFERENTIATION_NUM_TER,MATCH(B3,PT_DIFFERENTIATION_TER_ID,0))</f>
        <v>#N/A</v>
      </c>
      <c r="T3" s="243" t="s">
        <v>432</v>
      </c>
      <c r="U3" s="235"/>
      <c r="V3" s="3185"/>
      <c r="W3" s="3186"/>
      <c r="X3" s="3186"/>
      <c r="Y3" s="3186"/>
      <c r="Z3" s="3186"/>
      <c r="AA3" s="3186"/>
      <c r="AB3" s="3186"/>
      <c r="AC3" s="3186"/>
      <c r="AD3" s="3186"/>
      <c r="AE3" s="3186"/>
      <c r="AF3" s="3187"/>
      <c r="AG3" s="3185" t="e">
        <f>INDEX(PT_DIFFERENTIATION_TER,MATCH(B3,PT_DIFFERENTIATION_TER_ID,0))</f>
        <v>#N/A</v>
      </c>
      <c r="AH3" s="3186"/>
      <c r="AI3" s="3186"/>
      <c r="AJ3" s="3186"/>
      <c r="AK3" s="3186"/>
      <c r="AL3" s="3186"/>
      <c r="AM3" s="3186"/>
      <c r="AN3" s="3186"/>
      <c r="AO3" s="3186"/>
      <c r="AP3" s="3186"/>
      <c r="AQ3" s="3186"/>
      <c r="AR3" s="3187"/>
      <c r="AS3" s="1175" t="s">
        <v>433</v>
      </c>
      <c r="AU3" s="434"/>
      <c r="AV3" s="434" t="str">
        <f t="shared" si="0"/>
        <v>Территория действия тарифа</v>
      </c>
      <c r="AW3" s="434"/>
      <c r="AX3" s="434"/>
      <c r="AY3" s="1072">
        <v>0</v>
      </c>
    </row>
    <row r="4" spans="1:51" ht="23.25" hidden="1" customHeight="1">
      <c r="A4" s="1280"/>
      <c r="B4" s="1280"/>
      <c r="C4" s="1280"/>
      <c r="D4" s="1280"/>
      <c r="E4" s="3200"/>
      <c r="F4" s="3200"/>
      <c r="G4" s="3199">
        <v>1</v>
      </c>
      <c r="H4" s="1280"/>
      <c r="I4" s="1280"/>
      <c r="J4" s="1280"/>
      <c r="K4" s="1280"/>
      <c r="L4" s="1281"/>
      <c r="M4" s="1282"/>
      <c r="N4" s="1282"/>
      <c r="O4" s="1282"/>
      <c r="P4" s="288"/>
      <c r="Q4" s="286"/>
      <c r="R4" s="287"/>
      <c r="S4" s="1410" t="e">
        <f>INDEX(PT_DIFFERENTIATION_NUM_CS,MATCH(C4,PT_DIFFERENTIATION_CS_ID,0))</f>
        <v>#N/A</v>
      </c>
      <c r="T4" s="244" t="s">
        <v>563</v>
      </c>
      <c r="U4" s="235"/>
      <c r="V4" s="3185"/>
      <c r="W4" s="3186"/>
      <c r="X4" s="3186"/>
      <c r="Y4" s="3186"/>
      <c r="Z4" s="3186"/>
      <c r="AA4" s="3186"/>
      <c r="AB4" s="3186"/>
      <c r="AC4" s="3186"/>
      <c r="AD4" s="3186"/>
      <c r="AE4" s="3186"/>
      <c r="AF4" s="3187"/>
      <c r="AG4" s="3185" t="e">
        <f>INDEX(PT_DIFFERENTIATION_CS,MATCH(C4,PT_DIFFERENTIATION_CS_ID,0))</f>
        <v>#N/A</v>
      </c>
      <c r="AH4" s="3186"/>
      <c r="AI4" s="3186"/>
      <c r="AJ4" s="3186"/>
      <c r="AK4" s="3186"/>
      <c r="AL4" s="3186"/>
      <c r="AM4" s="3186"/>
      <c r="AN4" s="3186"/>
      <c r="AO4" s="3186"/>
      <c r="AP4" s="3186"/>
      <c r="AQ4" s="3186"/>
      <c r="AR4" s="3187"/>
      <c r="AS4" s="1175" t="s">
        <v>564</v>
      </c>
      <c r="AU4" s="434"/>
      <c r="AV4" s="434" t="str">
        <f t="shared" si="0"/>
        <v>Наименование централизованной системы горячего водоснабжения</v>
      </c>
      <c r="AW4" s="434"/>
      <c r="AX4" s="434"/>
      <c r="AY4" s="1072">
        <v>0</v>
      </c>
    </row>
    <row r="5" spans="1:51" ht="23.25" hidden="1" customHeight="1">
      <c r="A5" s="1280"/>
      <c r="B5" s="1280"/>
      <c r="C5" s="1280"/>
      <c r="D5" s="1280"/>
      <c r="E5" s="3200"/>
      <c r="F5" s="3200"/>
      <c r="G5" s="3200"/>
      <c r="H5" s="3200"/>
      <c r="I5" s="3197" t="e">
        <f>S4&amp;".1"</f>
        <v>#N/A</v>
      </c>
      <c r="J5" s="1280"/>
      <c r="K5" s="1280"/>
      <c r="L5" s="1281"/>
      <c r="P5" s="3198">
        <v>1</v>
      </c>
      <c r="Q5" s="1398"/>
      <c r="R5" s="290"/>
      <c r="S5" s="1410" t="e">
        <f>$I5</f>
        <v>#N/A</v>
      </c>
      <c r="T5" s="220" t="s">
        <v>516</v>
      </c>
      <c r="U5" s="235"/>
      <c r="V5" s="3266"/>
      <c r="W5" s="3267"/>
      <c r="X5" s="3267"/>
      <c r="Y5" s="3267"/>
      <c r="Z5" s="3267"/>
      <c r="AA5" s="3267"/>
      <c r="AB5" s="3267"/>
      <c r="AC5" s="3267"/>
      <c r="AD5" s="3267"/>
      <c r="AE5" s="3267"/>
      <c r="AF5" s="3268"/>
      <c r="AG5" s="3269"/>
      <c r="AH5" s="3270"/>
      <c r="AI5" s="3270"/>
      <c r="AJ5" s="3270"/>
      <c r="AK5" s="3270"/>
      <c r="AL5" s="3270"/>
      <c r="AM5" s="3270"/>
      <c r="AN5" s="3270"/>
      <c r="AO5" s="3270"/>
      <c r="AP5" s="3270"/>
      <c r="AQ5" s="3270"/>
      <c r="AR5" s="3271"/>
      <c r="AS5" s="1175" t="s">
        <v>517</v>
      </c>
      <c r="AU5" s="434"/>
      <c r="AV5" s="434" t="str">
        <f t="shared" si="0"/>
        <v>Наименование признака дифференциации</v>
      </c>
      <c r="AW5" s="434"/>
      <c r="AX5" s="434"/>
      <c r="AY5" s="1072">
        <v>0</v>
      </c>
    </row>
    <row r="6" spans="1:51" ht="23.25" hidden="1" customHeight="1">
      <c r="A6" s="1280"/>
      <c r="B6" s="1280"/>
      <c r="C6" s="1280"/>
      <c r="D6" s="1280"/>
      <c r="E6" s="3200"/>
      <c r="F6" s="3200"/>
      <c r="G6" s="3200"/>
      <c r="H6" s="3200"/>
      <c r="I6" s="3220"/>
      <c r="J6" s="3197" t="e">
        <f>I5&amp;".1"</f>
        <v>#N/A</v>
      </c>
      <c r="K6" s="1280"/>
      <c r="L6" s="1281" t="s">
        <v>441</v>
      </c>
      <c r="P6" s="3198"/>
      <c r="Q6" s="3198">
        <v>1</v>
      </c>
      <c r="R6" s="291"/>
      <c r="S6" s="1410" t="e">
        <f>$J6</f>
        <v>#N/A</v>
      </c>
      <c r="T6" s="221" t="s">
        <v>442</v>
      </c>
      <c r="U6" s="235"/>
      <c r="V6" s="3188"/>
      <c r="W6" s="3189"/>
      <c r="X6" s="3189"/>
      <c r="Y6" s="3189"/>
      <c r="Z6" s="3189"/>
      <c r="AA6" s="3189"/>
      <c r="AB6" s="3189"/>
      <c r="AC6" s="3189"/>
      <c r="AD6" s="3189"/>
      <c r="AE6" s="3189"/>
      <c r="AF6" s="3190"/>
      <c r="AG6" s="3188"/>
      <c r="AH6" s="3189"/>
      <c r="AI6" s="3189"/>
      <c r="AJ6" s="3189"/>
      <c r="AK6" s="3189"/>
      <c r="AL6" s="3189"/>
      <c r="AM6" s="3189"/>
      <c r="AN6" s="3189"/>
      <c r="AO6" s="3189"/>
      <c r="AP6" s="3189"/>
      <c r="AQ6" s="3189"/>
      <c r="AR6" s="3190"/>
      <c r="AS6" s="1224" t="s">
        <v>518</v>
      </c>
      <c r="AU6" s="434"/>
      <c r="AV6" s="434" t="str">
        <f t="shared" si="0"/>
        <v>Группа потребителей</v>
      </c>
      <c r="AW6" s="434"/>
      <c r="AX6" s="434"/>
      <c r="AY6" s="1072">
        <v>0</v>
      </c>
    </row>
    <row r="7" spans="1:51" ht="23.25" hidden="1" customHeight="1">
      <c r="A7" s="1280"/>
      <c r="B7" s="1280"/>
      <c r="C7" s="1280"/>
      <c r="D7" s="1280"/>
      <c r="E7" s="3200"/>
      <c r="F7" s="3200"/>
      <c r="G7" s="3200"/>
      <c r="H7" s="3200"/>
      <c r="I7" s="3220"/>
      <c r="J7" s="3220"/>
      <c r="K7" s="3197" t="e">
        <f>J6&amp;".1"</f>
        <v>#N/A</v>
      </c>
      <c r="L7" s="1281"/>
      <c r="P7" s="3198"/>
      <c r="Q7" s="3198"/>
      <c r="R7" s="291">
        <v>1</v>
      </c>
      <c r="S7" s="1410" t="e">
        <f>$K7</f>
        <v>#N/A</v>
      </c>
      <c r="T7" s="1354"/>
      <c r="U7" s="235"/>
      <c r="V7" s="685"/>
      <c r="W7" s="685"/>
      <c r="X7" s="685"/>
      <c r="Y7" s="685"/>
      <c r="Z7" s="685"/>
      <c r="AA7" s="685"/>
      <c r="AB7" s="685"/>
      <c r="AC7" s="3202"/>
      <c r="AD7" s="3048" t="s">
        <v>67</v>
      </c>
      <c r="AE7" s="3202"/>
      <c r="AF7" s="3048" t="s">
        <v>67</v>
      </c>
      <c r="AG7" s="685"/>
      <c r="AH7" s="685"/>
      <c r="AI7" s="685"/>
      <c r="AJ7" s="685"/>
      <c r="AK7" s="685"/>
      <c r="AL7" s="685"/>
      <c r="AM7" s="685"/>
      <c r="AN7" s="3202"/>
      <c r="AO7" s="3048" t="s">
        <v>67</v>
      </c>
      <c r="AP7" s="3221"/>
      <c r="AQ7" s="3048" t="s">
        <v>67</v>
      </c>
      <c r="AR7" s="1355"/>
      <c r="AS7" s="3265"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5" t="e">
        <f ca="1">STRCHECKDATE(V8:AR8)</f>
        <v>#NAME?</v>
      </c>
      <c r="AU7" s="434"/>
      <c r="AV7" s="434" t="str">
        <f t="shared" si="0"/>
        <v/>
      </c>
      <c r="AW7" s="434"/>
      <c r="AX7" s="434"/>
      <c r="AY7" s="1072">
        <v>0</v>
      </c>
    </row>
    <row r="8" spans="1:51" ht="14.25" hidden="1" customHeight="1">
      <c r="A8" s="1280"/>
      <c r="B8" s="1280"/>
      <c r="C8" s="1280"/>
      <c r="D8" s="1280"/>
      <c r="E8" s="3200"/>
      <c r="F8" s="3200"/>
      <c r="G8" s="3200"/>
      <c r="H8" s="3200"/>
      <c r="I8" s="3220"/>
      <c r="J8" s="3220"/>
      <c r="K8" s="3197"/>
      <c r="L8" s="1281"/>
      <c r="P8" s="3198"/>
      <c r="Q8" s="3198"/>
      <c r="R8" s="291"/>
      <c r="S8" s="1407"/>
      <c r="T8" s="235"/>
      <c r="U8" s="235"/>
      <c r="V8" s="260"/>
      <c r="W8" s="260"/>
      <c r="X8" s="260"/>
      <c r="Y8" s="260"/>
      <c r="Z8" s="260"/>
      <c r="AA8" s="260"/>
      <c r="AB8" s="260"/>
      <c r="AC8" s="3203"/>
      <c r="AD8" s="3048"/>
      <c r="AE8" s="3203"/>
      <c r="AF8" s="3048"/>
      <c r="AG8" s="260"/>
      <c r="AH8" s="260"/>
      <c r="AI8" s="260"/>
      <c r="AJ8" s="260"/>
      <c r="AK8" s="260"/>
      <c r="AL8" s="260"/>
      <c r="AM8" s="260"/>
      <c r="AN8" s="3203"/>
      <c r="AO8" s="3048"/>
      <c r="AP8" s="3222"/>
      <c r="AQ8" s="3048"/>
      <c r="AR8" s="1356"/>
      <c r="AS8" s="3265"/>
      <c r="AU8" s="434"/>
      <c r="AV8" s="434" t="str">
        <f t="shared" si="0"/>
        <v/>
      </c>
      <c r="AW8" s="434"/>
      <c r="AX8" s="434"/>
      <c r="AY8" s="1072">
        <v>0</v>
      </c>
    </row>
    <row r="9" spans="1:51" ht="21" hidden="1" customHeight="1">
      <c r="A9" s="1280"/>
      <c r="B9" s="1280"/>
      <c r="C9" s="1280"/>
      <c r="D9" s="1280"/>
      <c r="E9" s="3200"/>
      <c r="F9" s="3200"/>
      <c r="G9" s="3200"/>
      <c r="H9" s="3200"/>
      <c r="I9" s="3220"/>
      <c r="J9" s="3197"/>
      <c r="K9" s="1280"/>
      <c r="L9" s="1281"/>
      <c r="P9" s="3198"/>
      <c r="Q9" s="3198"/>
      <c r="R9" s="290"/>
      <c r="S9" s="1195"/>
      <c r="T9" s="222" t="s">
        <v>519</v>
      </c>
      <c r="U9" s="301"/>
      <c r="V9" s="301"/>
      <c r="W9" s="534"/>
      <c r="X9" s="534"/>
      <c r="Y9" s="534"/>
      <c r="Z9" s="534"/>
      <c r="AA9" s="534"/>
      <c r="AB9" s="534"/>
      <c r="AC9" s="301"/>
      <c r="AD9" s="301"/>
      <c r="AE9" s="301"/>
      <c r="AF9" s="301"/>
      <c r="AG9" s="301"/>
      <c r="AH9" s="534"/>
      <c r="AI9" s="534"/>
      <c r="AJ9" s="534"/>
      <c r="AK9" s="534"/>
      <c r="AL9" s="534"/>
      <c r="AM9" s="301"/>
      <c r="AN9" s="301"/>
      <c r="AO9" s="301"/>
      <c r="AP9" s="301"/>
      <c r="AQ9" s="301"/>
      <c r="AR9" s="301"/>
      <c r="AS9" s="1175" t="s">
        <v>520</v>
      </c>
      <c r="AU9" s="434"/>
      <c r="AV9" s="434" t="str">
        <f t="shared" si="0"/>
        <v>Добавить значение признака дифференциации</v>
      </c>
      <c r="AW9" s="434"/>
      <c r="AX9" s="434"/>
      <c r="AY9" s="1072">
        <v>0</v>
      </c>
    </row>
    <row r="10" spans="1:51" ht="21" hidden="1" customHeight="1">
      <c r="A10" s="1280"/>
      <c r="B10" s="1280"/>
      <c r="C10" s="1280"/>
      <c r="D10" s="1280"/>
      <c r="E10" s="3200"/>
      <c r="F10" s="3200"/>
      <c r="G10" s="3200"/>
      <c r="H10" s="3200"/>
      <c r="I10" s="3197"/>
      <c r="J10" s="1280"/>
      <c r="K10" s="1280"/>
      <c r="L10" s="1281"/>
      <c r="P10" s="3198"/>
      <c r="Q10" s="1398"/>
      <c r="R10" s="290"/>
      <c r="S10" s="1195"/>
      <c r="T10" s="299" t="s">
        <v>447</v>
      </c>
      <c r="U10" s="301"/>
      <c r="V10" s="301"/>
      <c r="W10" s="534"/>
      <c r="X10" s="534"/>
      <c r="Y10" s="534"/>
      <c r="Z10" s="534"/>
      <c r="AA10" s="534"/>
      <c r="AB10" s="534"/>
      <c r="AC10" s="301"/>
      <c r="AD10" s="301"/>
      <c r="AE10" s="301"/>
      <c r="AF10" s="300"/>
      <c r="AG10" s="301"/>
      <c r="AH10" s="534"/>
      <c r="AI10" s="534"/>
      <c r="AJ10" s="534"/>
      <c r="AK10" s="534"/>
      <c r="AL10" s="534"/>
      <c r="AM10" s="301"/>
      <c r="AN10" s="301"/>
      <c r="AO10" s="301"/>
      <c r="AP10" s="301"/>
      <c r="AQ10" s="300"/>
      <c r="AR10" s="301"/>
      <c r="AS10" s="1357"/>
      <c r="AU10" s="434"/>
      <c r="AV10" s="434" t="str">
        <f t="shared" si="0"/>
        <v>Добавить группу потребителей</v>
      </c>
      <c r="AW10" s="434"/>
      <c r="AX10" s="434"/>
      <c r="AY10" s="1072">
        <v>0</v>
      </c>
    </row>
    <row r="11" spans="1:51" ht="21" hidden="1" customHeight="1">
      <c r="A11" s="1280"/>
      <c r="B11" s="1280"/>
      <c r="C11" s="1280"/>
      <c r="D11" s="1280"/>
      <c r="E11" s="3200"/>
      <c r="F11" s="3200"/>
      <c r="G11" s="3200"/>
      <c r="H11" s="3199"/>
      <c r="I11" s="1280"/>
      <c r="J11" s="1280"/>
      <c r="K11" s="1280"/>
      <c r="L11" s="1281"/>
      <c r="M11" s="1282"/>
      <c r="N11" s="1282"/>
      <c r="O11" s="471"/>
      <c r="P11" s="294"/>
      <c r="Q11" s="309"/>
      <c r="R11" s="289"/>
      <c r="S11" s="1195"/>
      <c r="T11" s="306" t="s">
        <v>521</v>
      </c>
      <c r="U11" s="301"/>
      <c r="V11" s="301"/>
      <c r="W11" s="534"/>
      <c r="X11" s="534"/>
      <c r="Y11" s="534"/>
      <c r="Z11" s="534"/>
      <c r="AA11" s="534"/>
      <c r="AB11" s="534"/>
      <c r="AC11" s="301"/>
      <c r="AD11" s="301"/>
      <c r="AE11" s="301"/>
      <c r="AF11" s="300"/>
      <c r="AG11" s="301"/>
      <c r="AH11" s="534"/>
      <c r="AI11" s="534"/>
      <c r="AJ11" s="534"/>
      <c r="AK11" s="534"/>
      <c r="AL11" s="534"/>
      <c r="AM11" s="301"/>
      <c r="AN11" s="301"/>
      <c r="AO11" s="301"/>
      <c r="AP11" s="301"/>
      <c r="AQ11" s="300"/>
      <c r="AR11" s="301"/>
      <c r="AS11" s="238"/>
      <c r="AU11" s="434"/>
      <c r="AV11" s="434" t="str">
        <f t="shared" si="0"/>
        <v>Добавить наименование признака дифференциации</v>
      </c>
      <c r="AW11" s="434"/>
      <c r="AX11" s="434"/>
      <c r="AY11" s="1072">
        <v>0</v>
      </c>
    </row>
    <row r="12" spans="1:51" s="2017" customFormat="1" ht="14.25" hidden="1" customHeight="1">
      <c r="A12" s="1260"/>
      <c r="B12" s="1260"/>
      <c r="C12" s="1231"/>
      <c r="D12" s="1231"/>
      <c r="E12" s="3200"/>
      <c r="F12" s="3199"/>
      <c r="G12" s="1231"/>
      <c r="H12" s="1231"/>
      <c r="I12" s="1231"/>
      <c r="J12" s="1231"/>
      <c r="K12" s="1231"/>
      <c r="L12" s="1411"/>
      <c r="M12" s="1238"/>
      <c r="N12" s="1238"/>
      <c r="P12" s="1233"/>
      <c r="Q12" s="1234"/>
      <c r="R12" s="1233"/>
      <c r="S12" s="1239"/>
      <c r="T12" s="1242" t="s">
        <v>181</v>
      </c>
      <c r="U12" s="1241"/>
      <c r="V12" s="1241"/>
      <c r="W12" s="1241"/>
      <c r="X12" s="1241"/>
      <c r="Y12" s="1241"/>
      <c r="Z12" s="1241"/>
      <c r="AA12" s="1241"/>
      <c r="AB12" s="1241"/>
      <c r="AC12" s="1241"/>
      <c r="AD12" s="1241"/>
      <c r="AE12" s="1241"/>
      <c r="AF12" s="1241"/>
      <c r="AG12" s="1241"/>
      <c r="AH12" s="1241"/>
      <c r="AI12" s="1241"/>
      <c r="AJ12" s="1241"/>
      <c r="AK12" s="1241"/>
      <c r="AL12" s="1241"/>
      <c r="AM12" s="1241"/>
      <c r="AN12" s="1241"/>
      <c r="AO12" s="1241"/>
      <c r="AP12" s="1241"/>
      <c r="AQ12" s="1241"/>
      <c r="AR12" s="1241"/>
      <c r="AS12" s="1241"/>
      <c r="AU12" s="717"/>
      <c r="AV12" s="717" t="str">
        <f t="shared" si="0"/>
        <v>Добавить централизованную систему для дифференциации</v>
      </c>
      <c r="AW12" s="717"/>
      <c r="AX12" s="717"/>
      <c r="AY12" s="452">
        <v>0</v>
      </c>
    </row>
    <row r="13" spans="1:51" s="2017" customFormat="1" ht="14.25" hidden="1" customHeight="1">
      <c r="A13" s="1260"/>
      <c r="B13" s="1260"/>
      <c r="C13" s="1260"/>
      <c r="D13" s="1260"/>
      <c r="E13" s="3199"/>
      <c r="F13" s="1260"/>
      <c r="G13" s="1260"/>
      <c r="H13" s="1260"/>
      <c r="I13" s="1260"/>
      <c r="J13" s="1260"/>
      <c r="K13" s="1260"/>
      <c r="L13" s="1263"/>
      <c r="M13" s="1238"/>
      <c r="N13" s="1238"/>
      <c r="O13" s="452"/>
      <c r="P13" s="314"/>
      <c r="Q13" s="1261"/>
      <c r="R13" s="314"/>
      <c r="S13" s="1239"/>
      <c r="T13" s="1242" t="s">
        <v>188</v>
      </c>
      <c r="U13" s="1241"/>
      <c r="V13" s="1241"/>
      <c r="W13" s="1241"/>
      <c r="X13" s="1241"/>
      <c r="Y13" s="1241"/>
      <c r="Z13" s="1241"/>
      <c r="AA13" s="1241"/>
      <c r="AB13" s="1241"/>
      <c r="AC13" s="1241"/>
      <c r="AD13" s="1241"/>
      <c r="AE13" s="1241"/>
      <c r="AF13" s="1241"/>
      <c r="AG13" s="1241"/>
      <c r="AH13" s="1241"/>
      <c r="AI13" s="1241"/>
      <c r="AJ13" s="1241"/>
      <c r="AK13" s="1241"/>
      <c r="AL13" s="1241"/>
      <c r="AM13" s="1241"/>
      <c r="AN13" s="1241"/>
      <c r="AO13" s="1241"/>
      <c r="AP13" s="1241"/>
      <c r="AQ13" s="1241"/>
      <c r="AR13" s="1241"/>
      <c r="AS13" s="1241"/>
      <c r="AU13" s="434"/>
      <c r="AV13" s="434" t="str">
        <f t="shared" si="0"/>
        <v>Добавить территорию для дифференциации</v>
      </c>
      <c r="AW13" s="434"/>
      <c r="AX13" s="434"/>
      <c r="AY13" s="445">
        <v>0</v>
      </c>
    </row>
    <row r="14" spans="1:51" ht="14.25" hidden="1" customHeight="1">
      <c r="AF14" s="262"/>
      <c r="AQ14" s="262"/>
      <c r="AY14" s="1072">
        <v>0</v>
      </c>
    </row>
    <row r="15" spans="1:51" ht="14.25" hidden="1" customHeight="1">
      <c r="AG15" s="1277"/>
      <c r="AH15" s="1277"/>
      <c r="AI15" s="1277"/>
      <c r="AJ15" s="1277"/>
      <c r="AK15" s="1277"/>
      <c r="AL15" s="1277"/>
      <c r="AM15" s="1277"/>
      <c r="AN15" s="3204"/>
      <c r="AO15" s="3205" t="s">
        <v>67</v>
      </c>
      <c r="AP15" s="3204"/>
      <c r="AQ15" s="3205" t="s">
        <v>67</v>
      </c>
      <c r="AY15" s="1072">
        <v>0</v>
      </c>
    </row>
    <row r="16" spans="1:51" ht="14.25" hidden="1" customHeight="1">
      <c r="AG16" s="1277"/>
      <c r="AH16" s="1277"/>
      <c r="AI16" s="1277"/>
      <c r="AJ16" s="1277"/>
      <c r="AK16" s="1277"/>
      <c r="AL16" s="1277"/>
      <c r="AM16" s="1277"/>
      <c r="AN16" s="3205"/>
      <c r="AO16" s="3205"/>
      <c r="AP16" s="3205"/>
      <c r="AQ16" s="3205"/>
      <c r="AY16" s="1072">
        <v>0</v>
      </c>
    </row>
    <row r="17" spans="1:51" ht="14.25" hidden="1" customHeight="1">
      <c r="AQ17" s="262"/>
      <c r="AY17" s="1072">
        <v>0</v>
      </c>
    </row>
    <row r="18" spans="1:51" s="2016" customFormat="1" ht="22.5" hidden="1" customHeight="1">
      <c r="L18" s="1395"/>
      <c r="M18" s="1279"/>
      <c r="N18" s="1279"/>
      <c r="O18" s="1284" t="s">
        <v>449</v>
      </c>
      <c r="P18" s="1279"/>
      <c r="Q18" s="1288"/>
      <c r="R18" s="1288"/>
      <c r="S18" s="663"/>
      <c r="W18" s="1283"/>
      <c r="X18" s="1283"/>
      <c r="Y18" s="1283"/>
      <c r="Z18" s="1283"/>
      <c r="AA18" s="1283"/>
      <c r="AB18" s="1283"/>
      <c r="AC18" s="1284"/>
      <c r="AE18" s="1284"/>
      <c r="AF18" s="1283"/>
      <c r="AH18" s="1283"/>
      <c r="AI18" s="1283"/>
      <c r="AJ18" s="1283"/>
      <c r="AK18" s="1283"/>
      <c r="AL18" s="1283"/>
      <c r="AN18" s="1284"/>
      <c r="AP18" s="1284"/>
      <c r="AQ18" s="1283"/>
      <c r="AT18" s="445"/>
      <c r="AU18" s="445"/>
      <c r="AV18" s="445"/>
      <c r="AW18" s="445"/>
      <c r="AX18" s="445"/>
      <c r="AY18" s="1077">
        <v>0</v>
      </c>
    </row>
    <row r="19" spans="1:51" s="2016" customFormat="1" ht="14.25" hidden="1" customHeight="1">
      <c r="L19" s="1395"/>
      <c r="M19" s="1279"/>
      <c r="N19" s="1279"/>
      <c r="O19" s="1279"/>
      <c r="P19" s="1279"/>
      <c r="Q19" s="1288"/>
      <c r="R19" s="1288"/>
      <c r="S19" s="663"/>
      <c r="W19" s="1283"/>
      <c r="X19" s="1283"/>
      <c r="Y19" s="1283"/>
      <c r="Z19" s="1283"/>
      <c r="AA19" s="1283"/>
      <c r="AB19" s="1283"/>
      <c r="AF19" s="1283"/>
      <c r="AH19" s="1283"/>
      <c r="AI19" s="1283"/>
      <c r="AJ19" s="1283"/>
      <c r="AK19" s="1283"/>
      <c r="AL19" s="1283"/>
      <c r="AQ19" s="1283"/>
      <c r="AT19" s="445"/>
      <c r="AU19" s="445"/>
      <c r="AV19" s="445"/>
      <c r="AW19" s="445"/>
      <c r="AX19" s="445"/>
      <c r="AY19" s="1077">
        <v>0</v>
      </c>
    </row>
    <row r="20" spans="1:51" s="2016" customFormat="1" ht="12" hidden="1" customHeight="1">
      <c r="L20" s="1395"/>
      <c r="M20" s="1279"/>
      <c r="N20" s="1279"/>
      <c r="O20" s="1281" t="s">
        <v>450</v>
      </c>
      <c r="P20" s="1279"/>
      <c r="Q20" s="1359"/>
      <c r="R20" s="1359"/>
      <c r="S20" s="663"/>
      <c r="T20" s="1077" t="s">
        <v>451</v>
      </c>
      <c r="W20" s="1283"/>
      <c r="X20" s="1283"/>
      <c r="Y20" s="1283"/>
      <c r="Z20" s="1283"/>
      <c r="AA20" s="1283"/>
      <c r="AB20" s="1283"/>
      <c r="AD20" s="121" t="s">
        <v>452</v>
      </c>
      <c r="AF20" s="121" t="s">
        <v>453</v>
      </c>
      <c r="AG20" s="1077" t="s">
        <v>451</v>
      </c>
      <c r="AH20" s="1283"/>
      <c r="AI20" s="1283"/>
      <c r="AJ20" s="1283"/>
      <c r="AK20" s="1283"/>
      <c r="AL20" s="1283"/>
      <c r="AO20" s="121" t="s">
        <v>454</v>
      </c>
      <c r="AQ20" s="121" t="s">
        <v>453</v>
      </c>
      <c r="AY20" s="1077">
        <v>0</v>
      </c>
    </row>
    <row r="21" spans="1:51" ht="14.25" hidden="1" customHeight="1">
      <c r="O21" s="1281"/>
      <c r="AY21" s="1072">
        <v>0</v>
      </c>
    </row>
    <row r="22" spans="1:51" ht="14.25" hidden="1" customHeight="1">
      <c r="O22" s="1281"/>
      <c r="AY22" s="1072">
        <v>0</v>
      </c>
    </row>
    <row r="23" spans="1:51" ht="14.65" customHeight="1">
      <c r="Q23" s="310"/>
      <c r="R23" s="310"/>
      <c r="S23" s="1192"/>
      <c r="T23" s="297"/>
      <c r="U23" s="297"/>
      <c r="V23" s="443"/>
      <c r="W23" s="1552"/>
      <c r="X23" s="1552"/>
      <c r="Y23" s="1552"/>
      <c r="Z23" s="1552"/>
      <c r="AA23" s="1552"/>
      <c r="AB23" s="1552"/>
      <c r="AC23" s="443"/>
      <c r="AD23" s="443"/>
      <c r="AE23" s="443"/>
      <c r="AF23" s="443"/>
      <c r="AG23" s="443"/>
      <c r="AH23" s="1552"/>
      <c r="AI23" s="1552"/>
      <c r="AJ23" s="1552"/>
      <c r="AK23" s="1552"/>
      <c r="AL23" s="1552"/>
      <c r="AM23" s="443"/>
      <c r="AN23" s="443"/>
      <c r="AO23" s="443"/>
      <c r="AP23" s="443"/>
      <c r="AQ23" s="443"/>
      <c r="AY23" s="1072">
        <v>14</v>
      </c>
    </row>
    <row r="24" spans="1:51" ht="26.25" customHeight="1">
      <c r="Q24" s="310"/>
      <c r="R24" s="310"/>
      <c r="S24" s="3183"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3183"/>
      <c r="U24" s="3183"/>
      <c r="V24" s="3183"/>
      <c r="W24" s="3183"/>
      <c r="X24" s="3183"/>
      <c r="Y24" s="3183"/>
      <c r="Z24" s="3183"/>
      <c r="AA24" s="3183"/>
      <c r="AB24" s="3183"/>
      <c r="AC24" s="3183"/>
      <c r="AD24" s="3183"/>
      <c r="AE24" s="3183"/>
      <c r="AF24" s="3183"/>
      <c r="AG24" s="3183"/>
      <c r="AH24" s="3183"/>
      <c r="AI24" s="3183"/>
      <c r="AJ24" s="3183"/>
      <c r="AK24" s="3183"/>
      <c r="AL24" s="3183"/>
      <c r="AM24" s="3183"/>
      <c r="AN24" s="3183"/>
      <c r="AO24" s="3183"/>
      <c r="AP24" s="3183"/>
      <c r="AQ24" s="1160"/>
      <c r="AY24" s="1072">
        <v>25</v>
      </c>
    </row>
    <row r="25" spans="1:51" ht="14.65" customHeight="1">
      <c r="Q25" s="310"/>
      <c r="R25" s="310"/>
      <c r="S25" s="3131" t="str">
        <f>IF(org=0,"Не определено",org)</f>
        <v>ООО "РСО"</v>
      </c>
      <c r="T25" s="3131"/>
      <c r="U25" s="3131"/>
      <c r="V25" s="3131"/>
      <c r="W25" s="3131"/>
      <c r="X25" s="3131"/>
      <c r="Y25" s="3131"/>
      <c r="Z25" s="3131"/>
      <c r="AA25" s="3131"/>
      <c r="AB25" s="3131"/>
      <c r="AC25" s="3131"/>
      <c r="AD25" s="3131"/>
      <c r="AE25" s="3131"/>
      <c r="AF25" s="3131"/>
      <c r="AG25" s="3131"/>
      <c r="AH25" s="3131"/>
      <c r="AI25" s="3131"/>
      <c r="AJ25" s="3131"/>
      <c r="AK25" s="3131"/>
      <c r="AL25" s="3131"/>
      <c r="AM25" s="3131"/>
      <c r="AN25" s="3131"/>
      <c r="AO25" s="3131"/>
      <c r="AP25" s="3131"/>
      <c r="AQ25" s="1160"/>
      <c r="AY25" s="1072">
        <v>14</v>
      </c>
    </row>
    <row r="26" spans="1:51" ht="14.25" hidden="1" customHeight="1">
      <c r="Q26" s="310"/>
      <c r="R26" s="310"/>
      <c r="S26" s="1192"/>
      <c r="T26" s="297"/>
      <c r="U26" s="297"/>
      <c r="V26" s="257"/>
      <c r="W26" s="257"/>
      <c r="X26" s="257"/>
      <c r="Y26" s="257"/>
      <c r="Z26" s="257"/>
      <c r="AA26" s="257"/>
      <c r="AB26" s="257"/>
      <c r="AC26" s="257"/>
      <c r="AD26" s="257"/>
      <c r="AE26" s="257"/>
      <c r="AF26" s="257"/>
      <c r="AG26" s="257"/>
      <c r="AH26" s="257"/>
      <c r="AI26" s="257"/>
      <c r="AJ26" s="257"/>
      <c r="AK26" s="257"/>
      <c r="AL26" s="257"/>
      <c r="AM26" s="257"/>
      <c r="AN26" s="257"/>
      <c r="AO26" s="257"/>
      <c r="AP26" s="257"/>
      <c r="AQ26" s="257"/>
      <c r="AR26" s="443"/>
      <c r="AY26" s="1072">
        <v>0</v>
      </c>
    </row>
    <row r="27" spans="1:51" s="2028" customFormat="1" ht="25.5" hidden="1" customHeight="1">
      <c r="A27" s="1285"/>
      <c r="B27" s="1285"/>
      <c r="C27" s="1285"/>
      <c r="D27" s="1285"/>
      <c r="E27" s="1285"/>
      <c r="F27" s="1285"/>
      <c r="G27" s="1285"/>
      <c r="H27" s="1285"/>
      <c r="I27" s="1285"/>
      <c r="J27" s="1285"/>
      <c r="K27" s="1285"/>
      <c r="L27" s="1286"/>
      <c r="M27" s="1285"/>
      <c r="N27" s="1285"/>
      <c r="O27" s="1285"/>
      <c r="S27" s="3191" t="s">
        <v>42</v>
      </c>
      <c r="T27" s="3191"/>
      <c r="U27" s="1289"/>
      <c r="V27" s="3192" t="str">
        <f>IF(TITLE_NAME_OR_PR_CHANGE="",IF(TITLE_NAME_OR_PR="","",TITLE_NAME_OR_PR),TITLE_NAME_OR_PR_CHANGE)</f>
        <v/>
      </c>
      <c r="W27" s="3192"/>
      <c r="X27" s="3192"/>
      <c r="Y27" s="3192"/>
      <c r="Z27" s="3192"/>
      <c r="AA27" s="3192"/>
      <c r="AB27" s="3192"/>
      <c r="AC27" s="3192"/>
      <c r="AD27" s="3192"/>
      <c r="AE27" s="3192"/>
      <c r="AF27" s="261"/>
      <c r="AG27" s="3192" t="str">
        <f>IF(TITLE_NAME_OR_PR_CHANGE="",IF(TITLE_NAME_OR_PR="","",TITLE_NAME_OR_PR),TITLE_NAME_OR_PR_CHANGE)</f>
        <v/>
      </c>
      <c r="AH27" s="3192"/>
      <c r="AI27" s="3192"/>
      <c r="AJ27" s="3192"/>
      <c r="AK27" s="3192"/>
      <c r="AL27" s="3192"/>
      <c r="AM27" s="3192"/>
      <c r="AN27" s="3192"/>
      <c r="AO27" s="3192"/>
      <c r="AP27" s="3192"/>
      <c r="AQ27" s="261"/>
      <c r="AR27" s="261"/>
      <c r="AS27" s="215"/>
      <c r="AT27" s="302"/>
      <c r="AU27" s="302"/>
      <c r="AV27" s="302"/>
      <c r="AW27" s="302"/>
      <c r="AX27" s="302"/>
      <c r="AY27" s="352">
        <v>0</v>
      </c>
    </row>
    <row r="28" spans="1:51" s="2028" customFormat="1" ht="18.75" hidden="1" customHeight="1">
      <c r="A28" s="1285"/>
      <c r="B28" s="1285"/>
      <c r="C28" s="1285"/>
      <c r="D28" s="1285"/>
      <c r="E28" s="1285"/>
      <c r="F28" s="1285"/>
      <c r="G28" s="1285"/>
      <c r="H28" s="1285"/>
      <c r="I28" s="1285"/>
      <c r="J28" s="1285"/>
      <c r="K28" s="1285"/>
      <c r="L28" s="1286"/>
      <c r="M28" s="1285"/>
      <c r="N28" s="1285"/>
      <c r="O28" s="1285"/>
      <c r="S28" s="3191" t="s">
        <v>455</v>
      </c>
      <c r="T28" s="3191"/>
      <c r="U28" s="1289"/>
      <c r="V28" s="3201">
        <f>IF(TITLE_DATE_PR_CHANGE="",IF(TITLE_DATE_PR="","",TITLE_DATE_PR),TITLE_DATE_PR_CHANGE)</f>
        <v>45408</v>
      </c>
      <c r="W28" s="3201"/>
      <c r="X28" s="3201"/>
      <c r="Y28" s="3201"/>
      <c r="Z28" s="3201"/>
      <c r="AA28" s="3201"/>
      <c r="AB28" s="3201"/>
      <c r="AC28" s="3201"/>
      <c r="AD28" s="3201"/>
      <c r="AE28" s="3201"/>
      <c r="AF28" s="261"/>
      <c r="AG28" s="3201">
        <f>IF(TITLE_DATE_PR_CHANGE="",IF(TITLE_DATE_PR="","",TITLE_DATE_PR),TITLE_DATE_PR_CHANGE)</f>
        <v>45408</v>
      </c>
      <c r="AH28" s="3201"/>
      <c r="AI28" s="3201"/>
      <c r="AJ28" s="3201"/>
      <c r="AK28" s="3201"/>
      <c r="AL28" s="3201"/>
      <c r="AM28" s="3201"/>
      <c r="AN28" s="3201"/>
      <c r="AO28" s="3201"/>
      <c r="AP28" s="3201"/>
      <c r="AQ28" s="261"/>
      <c r="AR28" s="261"/>
      <c r="AS28" s="215"/>
      <c r="AT28" s="302"/>
      <c r="AU28" s="302"/>
      <c r="AV28" s="302"/>
      <c r="AW28" s="302"/>
      <c r="AX28" s="302"/>
      <c r="AY28" s="352">
        <v>0</v>
      </c>
    </row>
    <row r="29" spans="1:51" s="2028" customFormat="1" ht="18.75" hidden="1" customHeight="1">
      <c r="A29" s="1285"/>
      <c r="B29" s="1285"/>
      <c r="C29" s="1285"/>
      <c r="D29" s="1285"/>
      <c r="E29" s="1285"/>
      <c r="F29" s="1285"/>
      <c r="G29" s="1285"/>
      <c r="H29" s="1285"/>
      <c r="I29" s="1285"/>
      <c r="J29" s="1285"/>
      <c r="K29" s="1285"/>
      <c r="L29" s="1286"/>
      <c r="M29" s="1285"/>
      <c r="N29" s="1285"/>
      <c r="O29" s="1285"/>
      <c r="S29" s="3191" t="s">
        <v>456</v>
      </c>
      <c r="T29" s="3191"/>
      <c r="U29" s="1289"/>
      <c r="V29" s="3192" t="str">
        <f>IF(TITLE_NUMBER_PR_CHANGE="",IF(TITLE_NUMBER_PR="","",TITLE_NUMBER_PR),TITLE_NUMBER_PR_CHANGE)</f>
        <v>04-24/132, 04-24/131</v>
      </c>
      <c r="W29" s="3192"/>
      <c r="X29" s="3192"/>
      <c r="Y29" s="3192"/>
      <c r="Z29" s="3192"/>
      <c r="AA29" s="3192"/>
      <c r="AB29" s="3192"/>
      <c r="AC29" s="3192"/>
      <c r="AD29" s="3192"/>
      <c r="AE29" s="3192"/>
      <c r="AF29" s="261"/>
      <c r="AG29" s="3192" t="str">
        <f>IF(TITLE_NUMBER_PR_CHANGE="",IF(TITLE_NUMBER_PR="","",TITLE_NUMBER_PR),TITLE_NUMBER_PR_CHANGE)</f>
        <v>04-24/132, 04-24/131</v>
      </c>
      <c r="AH29" s="3192"/>
      <c r="AI29" s="3192"/>
      <c r="AJ29" s="3192"/>
      <c r="AK29" s="3192"/>
      <c r="AL29" s="3192"/>
      <c r="AM29" s="3192"/>
      <c r="AN29" s="3192"/>
      <c r="AO29" s="3192"/>
      <c r="AP29" s="3192"/>
      <c r="AQ29" s="261"/>
      <c r="AR29" s="261"/>
      <c r="AS29" s="215"/>
      <c r="AT29" s="302"/>
      <c r="AU29" s="302"/>
      <c r="AV29" s="302"/>
      <c r="AW29" s="302"/>
      <c r="AX29" s="302"/>
      <c r="AY29" s="352">
        <v>0</v>
      </c>
    </row>
    <row r="30" spans="1:51" s="2028" customFormat="1" ht="18.75" hidden="1" customHeight="1">
      <c r="A30" s="1285"/>
      <c r="B30" s="1285"/>
      <c r="C30" s="1285"/>
      <c r="D30" s="1285"/>
      <c r="E30" s="1285"/>
      <c r="F30" s="1285"/>
      <c r="G30" s="1285"/>
      <c r="H30" s="1285"/>
      <c r="I30" s="1285"/>
      <c r="J30" s="1285"/>
      <c r="K30" s="1285"/>
      <c r="L30" s="1286"/>
      <c r="M30" s="1285"/>
      <c r="N30" s="1285"/>
      <c r="O30" s="1285"/>
      <c r="S30" s="3191" t="s">
        <v>43</v>
      </c>
      <c r="T30" s="3191"/>
      <c r="U30" s="1289"/>
      <c r="V30" s="3192" t="str">
        <f>IF(TITLE_IST_PUB_CHANGE="",IF(TITLE_IST_PUB="","",TITLE_IST_PUB),TITLE_IST_PUB_CHANGE)</f>
        <v/>
      </c>
      <c r="W30" s="3192"/>
      <c r="X30" s="3192"/>
      <c r="Y30" s="3192"/>
      <c r="Z30" s="3192"/>
      <c r="AA30" s="3192"/>
      <c r="AB30" s="3192"/>
      <c r="AC30" s="3192"/>
      <c r="AD30" s="3192"/>
      <c r="AE30" s="3192"/>
      <c r="AF30" s="261"/>
      <c r="AG30" s="3192" t="str">
        <f>IF(TITLE_IST_PUB_CHANGE="",IF(TITLE_IST_PUB="","",TITLE_IST_PUB),TITLE_IST_PUB_CHANGE)</f>
        <v/>
      </c>
      <c r="AH30" s="3192"/>
      <c r="AI30" s="3192"/>
      <c r="AJ30" s="3192"/>
      <c r="AK30" s="3192"/>
      <c r="AL30" s="3192"/>
      <c r="AM30" s="3192"/>
      <c r="AN30" s="3192"/>
      <c r="AO30" s="3192"/>
      <c r="AP30" s="3192"/>
      <c r="AQ30" s="261"/>
      <c r="AR30" s="261"/>
      <c r="AS30" s="215"/>
      <c r="AT30" s="302"/>
      <c r="AU30" s="302"/>
      <c r="AV30" s="302"/>
      <c r="AW30" s="302"/>
      <c r="AX30" s="302"/>
      <c r="AY30" s="352">
        <v>0</v>
      </c>
    </row>
    <row r="31" spans="1:51" ht="14.25" customHeight="1">
      <c r="Q31" s="310"/>
      <c r="R31" s="310"/>
      <c r="S31" s="1192"/>
      <c r="T31" s="297"/>
      <c r="U31" s="297"/>
      <c r="V31" s="257"/>
      <c r="W31" s="257"/>
      <c r="X31" s="257"/>
      <c r="Y31" s="257"/>
      <c r="Z31" s="257"/>
      <c r="AA31" s="257"/>
      <c r="AB31" s="257"/>
      <c r="AC31" s="257"/>
      <c r="AD31" s="257"/>
      <c r="AE31" s="257"/>
      <c r="AF31" s="257"/>
      <c r="AG31" s="257"/>
      <c r="AH31" s="257"/>
      <c r="AI31" s="257"/>
      <c r="AJ31" s="257"/>
      <c r="AK31" s="257"/>
      <c r="AL31" s="257"/>
      <c r="AM31" s="257"/>
      <c r="AN31" s="257"/>
      <c r="AO31" s="257"/>
      <c r="AP31" s="257"/>
      <c r="AQ31" s="257"/>
      <c r="AR31" s="443"/>
      <c r="AY31" s="1072">
        <v>0</v>
      </c>
    </row>
    <row r="32" spans="1:51" s="2028" customFormat="1" ht="18.75" customHeight="1">
      <c r="A32" s="1285"/>
      <c r="B32" s="1285"/>
      <c r="C32" s="1285"/>
      <c r="D32" s="1285"/>
      <c r="E32" s="1285"/>
      <c r="F32" s="1285"/>
      <c r="G32" s="1285"/>
      <c r="H32" s="1285"/>
      <c r="I32" s="1285"/>
      <c r="J32" s="1285"/>
      <c r="K32" s="1285"/>
      <c r="L32" s="1286"/>
      <c r="M32" s="1285"/>
      <c r="N32" s="1285"/>
      <c r="O32" s="1285"/>
      <c r="S32" s="3191" t="s">
        <v>457</v>
      </c>
      <c r="T32" s="3191"/>
      <c r="U32" s="1289"/>
      <c r="V32" s="3201">
        <f>IF(TITLE_DATE_PR_CHANGE="",IF(TITLE_DATE_PR="","",TITLE_DATE_PR),TITLE_DATE_PR_CHANGE)</f>
        <v>45408</v>
      </c>
      <c r="W32" s="3201"/>
      <c r="X32" s="3201"/>
      <c r="Y32" s="3201"/>
      <c r="Z32" s="3201"/>
      <c r="AA32" s="3201"/>
      <c r="AB32" s="3201"/>
      <c r="AC32" s="3201"/>
      <c r="AD32" s="3201"/>
      <c r="AE32" s="3201"/>
      <c r="AF32" s="261"/>
      <c r="AG32" s="3201">
        <f>IF(TITLE_DATE_PR_CHANGE="",IF(TITLE_DATE_PR="","",TITLE_DATE_PR),TITLE_DATE_PR_CHANGE)</f>
        <v>45408</v>
      </c>
      <c r="AH32" s="3201"/>
      <c r="AI32" s="3201"/>
      <c r="AJ32" s="3201"/>
      <c r="AK32" s="3201"/>
      <c r="AL32" s="3201"/>
      <c r="AM32" s="3201"/>
      <c r="AN32" s="3201"/>
      <c r="AO32" s="3201"/>
      <c r="AP32" s="3201"/>
      <c r="AQ32" s="261"/>
      <c r="AR32" s="261"/>
      <c r="AS32" s="215"/>
      <c r="AT32" s="302"/>
      <c r="AU32" s="302"/>
      <c r="AV32" s="302"/>
      <c r="AW32" s="302"/>
      <c r="AX32" s="302"/>
      <c r="AY32" s="352">
        <v>0</v>
      </c>
    </row>
    <row r="33" spans="1:51" s="2028" customFormat="1" ht="18.75" customHeight="1">
      <c r="A33" s="1285"/>
      <c r="B33" s="1285"/>
      <c r="C33" s="1285"/>
      <c r="D33" s="1285"/>
      <c r="E33" s="1285"/>
      <c r="F33" s="1285"/>
      <c r="G33" s="1285"/>
      <c r="H33" s="1285"/>
      <c r="I33" s="1285"/>
      <c r="J33" s="1285"/>
      <c r="K33" s="1285"/>
      <c r="L33" s="1286"/>
      <c r="M33" s="1285"/>
      <c r="N33" s="1285"/>
      <c r="O33" s="1285"/>
      <c r="S33" s="3191" t="s">
        <v>458</v>
      </c>
      <c r="T33" s="3191"/>
      <c r="U33" s="1289"/>
      <c r="V33" s="3192" t="str">
        <f>IF(TITLE_NUMBER_PR_CHANGE="",IF(TITLE_NUMBER_PR="","",TITLE_NUMBER_PR),TITLE_NUMBER_PR_CHANGE)</f>
        <v>04-24/132, 04-24/131</v>
      </c>
      <c r="W33" s="3192"/>
      <c r="X33" s="3192"/>
      <c r="Y33" s="3192"/>
      <c r="Z33" s="3192"/>
      <c r="AA33" s="3192"/>
      <c r="AB33" s="3192"/>
      <c r="AC33" s="3192"/>
      <c r="AD33" s="3192"/>
      <c r="AE33" s="3192"/>
      <c r="AF33" s="261"/>
      <c r="AG33" s="3192" t="str">
        <f>IF(TITLE_NUMBER_PR_CHANGE="",IF(TITLE_NUMBER_PR="","",TITLE_NUMBER_PR),TITLE_NUMBER_PR_CHANGE)</f>
        <v>04-24/132, 04-24/131</v>
      </c>
      <c r="AH33" s="3192"/>
      <c r="AI33" s="3192"/>
      <c r="AJ33" s="3192"/>
      <c r="AK33" s="3192"/>
      <c r="AL33" s="3192"/>
      <c r="AM33" s="3192"/>
      <c r="AN33" s="3192"/>
      <c r="AO33" s="3192"/>
      <c r="AP33" s="3192"/>
      <c r="AQ33" s="261"/>
      <c r="AR33" s="261"/>
      <c r="AS33" s="215"/>
      <c r="AT33" s="302"/>
      <c r="AU33" s="302"/>
      <c r="AV33" s="302"/>
      <c r="AW33" s="302"/>
      <c r="AX33" s="302"/>
      <c r="AY33" s="352">
        <v>0</v>
      </c>
    </row>
    <row r="34" spans="1:51" s="2028" customFormat="1" ht="1" customHeight="1">
      <c r="A34" s="1285"/>
      <c r="B34" s="1285"/>
      <c r="C34" s="1285"/>
      <c r="D34" s="1285"/>
      <c r="E34" s="1285"/>
      <c r="F34" s="1285"/>
      <c r="G34" s="1285"/>
      <c r="H34" s="1285"/>
      <c r="I34" s="1285"/>
      <c r="J34" s="1285"/>
      <c r="K34" s="1285"/>
      <c r="L34" s="1286"/>
      <c r="M34" s="1285"/>
      <c r="N34" s="1285"/>
      <c r="O34" s="1285"/>
      <c r="S34" s="258"/>
      <c r="T34" s="258"/>
      <c r="U34" s="1405"/>
      <c r="V34" s="261"/>
      <c r="W34" s="1552"/>
      <c r="X34" s="1552"/>
      <c r="Y34" s="1552"/>
      <c r="Z34" s="1552"/>
      <c r="AA34" s="1552"/>
      <c r="AB34" s="1552"/>
      <c r="AC34" s="261"/>
      <c r="AD34" s="261"/>
      <c r="AE34" s="261"/>
      <c r="AF34" s="213" t="s">
        <v>459</v>
      </c>
      <c r="AG34" s="261"/>
      <c r="AH34" s="1552"/>
      <c r="AI34" s="1552"/>
      <c r="AJ34" s="1552"/>
      <c r="AK34" s="1552"/>
      <c r="AL34" s="1552"/>
      <c r="AM34" s="261"/>
      <c r="AN34" s="261"/>
      <c r="AO34" s="261"/>
      <c r="AP34" s="261"/>
      <c r="AQ34" s="213" t="s">
        <v>459</v>
      </c>
      <c r="AT34" s="302"/>
      <c r="AU34" s="302"/>
      <c r="AV34" s="302"/>
      <c r="AW34" s="302"/>
      <c r="AX34" s="302"/>
      <c r="AY34" s="352">
        <v>1</v>
      </c>
    </row>
    <row r="35" spans="1:51" ht="14.65" customHeight="1">
      <c r="Q35" s="310"/>
      <c r="R35" s="310"/>
      <c r="S35" s="1192"/>
      <c r="T35" s="297"/>
      <c r="U35" s="1161"/>
      <c r="V35" s="3193"/>
      <c r="W35" s="3193"/>
      <c r="X35" s="3193"/>
      <c r="Y35" s="3193"/>
      <c r="Z35" s="3193"/>
      <c r="AA35" s="3193"/>
      <c r="AB35" s="3193"/>
      <c r="AC35" s="3193"/>
      <c r="AD35" s="3193"/>
      <c r="AE35" s="3193"/>
      <c r="AF35" s="3193"/>
      <c r="AG35" s="3193"/>
      <c r="AH35" s="3193"/>
      <c r="AI35" s="3193"/>
      <c r="AJ35" s="3193"/>
      <c r="AK35" s="3193"/>
      <c r="AL35" s="3193"/>
      <c r="AM35" s="3193"/>
      <c r="AN35" s="3193"/>
      <c r="AO35" s="3193"/>
      <c r="AP35" s="3193"/>
      <c r="AQ35" s="3193"/>
      <c r="AY35" s="1072">
        <v>14</v>
      </c>
    </row>
    <row r="36" spans="1:51" ht="14.65" customHeight="1">
      <c r="Q36" s="310"/>
      <c r="R36" s="310"/>
      <c r="S36" s="3067" t="s">
        <v>335</v>
      </c>
      <c r="T36" s="3067"/>
      <c r="U36" s="3067"/>
      <c r="V36" s="3067"/>
      <c r="W36" s="3067"/>
      <c r="X36" s="3067"/>
      <c r="Y36" s="3067"/>
      <c r="Z36" s="3067"/>
      <c r="AA36" s="3067"/>
      <c r="AB36" s="3067"/>
      <c r="AC36" s="3067"/>
      <c r="AD36" s="3067"/>
      <c r="AE36" s="3067"/>
      <c r="AF36" s="3067"/>
      <c r="AG36" s="3067"/>
      <c r="AH36" s="3067"/>
      <c r="AI36" s="3067"/>
      <c r="AJ36" s="3067"/>
      <c r="AK36" s="3067"/>
      <c r="AL36" s="3067"/>
      <c r="AM36" s="3067"/>
      <c r="AN36" s="3067"/>
      <c r="AO36" s="3067"/>
      <c r="AP36" s="3067"/>
      <c r="AQ36" s="3067"/>
      <c r="AR36" s="3067"/>
      <c r="AS36" s="3067" t="s">
        <v>336</v>
      </c>
      <c r="AY36" s="1072">
        <v>14</v>
      </c>
    </row>
    <row r="37" spans="1:51" ht="14.65" customHeight="1">
      <c r="Q37" s="310"/>
      <c r="R37" s="310"/>
      <c r="S37" s="3207" t="s">
        <v>89</v>
      </c>
      <c r="T37" s="3159" t="s">
        <v>460</v>
      </c>
      <c r="U37" s="236"/>
      <c r="V37" s="3208" t="s">
        <v>461</v>
      </c>
      <c r="W37" s="3225"/>
      <c r="X37" s="3225"/>
      <c r="Y37" s="3225"/>
      <c r="Z37" s="3225"/>
      <c r="AA37" s="3225"/>
      <c r="AB37" s="3225"/>
      <c r="AC37" s="3209"/>
      <c r="AD37" s="3209"/>
      <c r="AE37" s="3210"/>
      <c r="AF37" s="3211" t="s">
        <v>462</v>
      </c>
      <c r="AG37" s="3208" t="s">
        <v>461</v>
      </c>
      <c r="AH37" s="3209"/>
      <c r="AI37" s="3209"/>
      <c r="AJ37" s="3209"/>
      <c r="AK37" s="3209"/>
      <c r="AL37" s="3209"/>
      <c r="AM37" s="3209"/>
      <c r="AN37" s="3209"/>
      <c r="AO37" s="3209"/>
      <c r="AP37" s="3210"/>
      <c r="AQ37" s="3211" t="s">
        <v>463</v>
      </c>
      <c r="AR37" s="3214" t="s">
        <v>464</v>
      </c>
      <c r="AS37" s="3067"/>
      <c r="AY37" s="1072">
        <v>14</v>
      </c>
    </row>
    <row r="38" spans="1:51" ht="20" customHeight="1">
      <c r="Q38" s="310"/>
      <c r="R38" s="310"/>
      <c r="S38" s="3207"/>
      <c r="T38" s="3159"/>
      <c r="U38" s="952"/>
      <c r="V38" s="3067" t="s">
        <v>565</v>
      </c>
      <c r="W38" s="3281" t="s">
        <v>566</v>
      </c>
      <c r="X38" s="3281"/>
      <c r="Y38" s="3281"/>
      <c r="Z38" s="3281" t="s">
        <v>567</v>
      </c>
      <c r="AA38" s="3281"/>
      <c r="AB38" s="3281"/>
      <c r="AC38" s="3145" t="s">
        <v>468</v>
      </c>
      <c r="AD38" s="3239"/>
      <c r="AE38" s="3146"/>
      <c r="AF38" s="3212"/>
      <c r="AG38" s="3067" t="s">
        <v>565</v>
      </c>
      <c r="AH38" s="3281" t="s">
        <v>566</v>
      </c>
      <c r="AI38" s="3281"/>
      <c r="AJ38" s="3281"/>
      <c r="AK38" s="3281" t="s">
        <v>567</v>
      </c>
      <c r="AL38" s="3281"/>
      <c r="AM38" s="3281"/>
      <c r="AN38" s="3145" t="s">
        <v>468</v>
      </c>
      <c r="AO38" s="3239"/>
      <c r="AP38" s="3146"/>
      <c r="AQ38" s="3212"/>
      <c r="AR38" s="3215"/>
      <c r="AS38" s="3067"/>
      <c r="AY38" s="1072">
        <v>19</v>
      </c>
    </row>
    <row r="39" spans="1:51" s="2004" customFormat="1" ht="20" customHeight="1">
      <c r="A39" s="1283"/>
      <c r="B39" s="1283"/>
      <c r="C39" s="1283"/>
      <c r="D39" s="1283"/>
      <c r="E39" s="1283"/>
      <c r="F39" s="1283"/>
      <c r="G39" s="1283"/>
      <c r="H39" s="1283"/>
      <c r="I39" s="1283"/>
      <c r="J39" s="1283"/>
      <c r="K39" s="1283"/>
      <c r="L39" s="1862"/>
      <c r="M39" s="1279"/>
      <c r="N39" s="1279"/>
      <c r="O39" s="1279"/>
      <c r="P39" s="1876"/>
      <c r="Q39" s="310"/>
      <c r="R39" s="310"/>
      <c r="S39" s="3207"/>
      <c r="T39" s="3159"/>
      <c r="U39" s="952"/>
      <c r="V39" s="3067"/>
      <c r="W39" s="3281" t="s">
        <v>568</v>
      </c>
      <c r="X39" s="3281" t="s">
        <v>569</v>
      </c>
      <c r="Y39" s="3281"/>
      <c r="Z39" s="3281" t="s">
        <v>570</v>
      </c>
      <c r="AA39" s="3281" t="s">
        <v>569</v>
      </c>
      <c r="AB39" s="3281"/>
      <c r="AC39" s="3150"/>
      <c r="AD39" s="3240"/>
      <c r="AE39" s="3151"/>
      <c r="AF39" s="3212"/>
      <c r="AG39" s="3067"/>
      <c r="AH39" s="3281" t="s">
        <v>568</v>
      </c>
      <c r="AI39" s="3281" t="s">
        <v>569</v>
      </c>
      <c r="AJ39" s="3281"/>
      <c r="AK39" s="3281" t="s">
        <v>570</v>
      </c>
      <c r="AL39" s="3281" t="s">
        <v>569</v>
      </c>
      <c r="AM39" s="3281"/>
      <c r="AN39" s="3150"/>
      <c r="AO39" s="3240"/>
      <c r="AP39" s="3151"/>
      <c r="AQ39" s="3212"/>
      <c r="AR39" s="3215"/>
      <c r="AS39" s="3067"/>
      <c r="AT39" s="1553"/>
      <c r="AU39" s="1553"/>
      <c r="AV39" s="1553"/>
      <c r="AW39" s="1553"/>
      <c r="AX39" s="1553"/>
      <c r="AY39" s="1548">
        <v>19</v>
      </c>
    </row>
    <row r="40" spans="1:51" ht="62" customHeight="1">
      <c r="A40" s="1287"/>
      <c r="B40" s="1287" t="s">
        <v>149</v>
      </c>
      <c r="C40" s="1287" t="s">
        <v>150</v>
      </c>
      <c r="D40" s="1287" t="s">
        <v>151</v>
      </c>
      <c r="E40" s="1281" t="s">
        <v>469</v>
      </c>
      <c r="F40" s="1281" t="s">
        <v>470</v>
      </c>
      <c r="G40" s="1281" t="s">
        <v>471</v>
      </c>
      <c r="H40" s="1281"/>
      <c r="I40" s="1281" t="s">
        <v>523</v>
      </c>
      <c r="J40" s="1281" t="s">
        <v>474</v>
      </c>
      <c r="K40" s="1281" t="s">
        <v>524</v>
      </c>
      <c r="L40" s="1281" t="s">
        <v>450</v>
      </c>
      <c r="Q40" s="310"/>
      <c r="R40" s="310"/>
      <c r="S40" s="3207"/>
      <c r="T40" s="3159"/>
      <c r="U40" s="237"/>
      <c r="V40" s="3067"/>
      <c r="W40" s="3281"/>
      <c r="X40" s="1894" t="s">
        <v>571</v>
      </c>
      <c r="Y40" s="1894" t="s">
        <v>572</v>
      </c>
      <c r="Z40" s="3281"/>
      <c r="AA40" s="1894" t="s">
        <v>573</v>
      </c>
      <c r="AB40" s="1894" t="s">
        <v>574</v>
      </c>
      <c r="AC40" s="1406" t="s">
        <v>478</v>
      </c>
      <c r="AD40" s="3167" t="s">
        <v>479</v>
      </c>
      <c r="AE40" s="3169"/>
      <c r="AF40" s="3213"/>
      <c r="AG40" s="3067"/>
      <c r="AH40" s="3281"/>
      <c r="AI40" s="1894" t="s">
        <v>571</v>
      </c>
      <c r="AJ40" s="1894" t="s">
        <v>572</v>
      </c>
      <c r="AK40" s="3281"/>
      <c r="AL40" s="1894" t="s">
        <v>573</v>
      </c>
      <c r="AM40" s="1894" t="s">
        <v>574</v>
      </c>
      <c r="AN40" s="1406" t="s">
        <v>478</v>
      </c>
      <c r="AO40" s="3167" t="s">
        <v>479</v>
      </c>
      <c r="AP40" s="3169"/>
      <c r="AQ40" s="3213"/>
      <c r="AR40" s="3216"/>
      <c r="AS40" s="3067"/>
      <c r="AY40" s="1072">
        <v>59</v>
      </c>
    </row>
    <row r="41" spans="1:51" s="2212" customFormat="1" ht="11.25" hidden="1" customHeight="1">
      <c r="A41" s="1287"/>
      <c r="B41" s="1287"/>
      <c r="C41" s="1287"/>
      <c r="D41" s="1287"/>
      <c r="E41" s="1287"/>
      <c r="F41" s="1287"/>
      <c r="G41" s="1287"/>
      <c r="H41" s="1287"/>
      <c r="I41" s="1287"/>
      <c r="J41" s="1287"/>
      <c r="K41" s="1287"/>
      <c r="L41" s="1281"/>
      <c r="M41" s="1279"/>
      <c r="N41" s="1279"/>
      <c r="O41" s="1279"/>
      <c r="P41" s="1163"/>
      <c r="Q41" s="1164"/>
      <c r="R41" s="1171">
        <v>1</v>
      </c>
      <c r="S41" s="1194" t="s">
        <v>124</v>
      </c>
      <c r="T41" s="1172" t="s">
        <v>104</v>
      </c>
      <c r="U41" s="1162" t="str">
        <f ca="1">OFFSET(U41,0,-1)</f>
        <v>2</v>
      </c>
      <c r="V41" s="1399">
        <f ca="1">OFFSET(V41,0,-1)+1</f>
        <v>3</v>
      </c>
      <c r="W41" s="1258"/>
      <c r="X41" s="1258"/>
      <c r="Y41" s="1258"/>
      <c r="Z41" s="1258"/>
      <c r="AA41" s="1258"/>
      <c r="AB41" s="1258"/>
      <c r="AC41" s="1399">
        <f ca="1">OFFSET(AC41,0,-1)+1</f>
        <v>1</v>
      </c>
      <c r="AD41" s="3206">
        <f ca="1">OFFSET(AD41,0,-1)+1</f>
        <v>2</v>
      </c>
      <c r="AE41" s="3206"/>
      <c r="AF41" s="1399">
        <f ca="1">OFFSET(AF41,0,-2)+1</f>
        <v>3</v>
      </c>
      <c r="AG41" s="1399">
        <f ca="1">OFFSET(AG41,0,-1)+1</f>
        <v>4</v>
      </c>
      <c r="AH41" s="1867"/>
      <c r="AI41" s="1867"/>
      <c r="AJ41" s="1867"/>
      <c r="AK41" s="1867"/>
      <c r="AL41" s="1867"/>
      <c r="AM41" s="1399">
        <f ca="1">OFFSET(AM41,0,-1)+1</f>
        <v>1</v>
      </c>
      <c r="AN41" s="1399">
        <f ca="1">OFFSET(AN41,0,-1)+1</f>
        <v>2</v>
      </c>
      <c r="AO41" s="3206">
        <f ca="1">OFFSET(AO41,0,-1)+1</f>
        <v>3</v>
      </c>
      <c r="AP41" s="3206"/>
      <c r="AQ41" s="1399">
        <f ca="1">OFFSET(AQ41,0,-2)+1</f>
        <v>4</v>
      </c>
      <c r="AR41" s="1162">
        <f ca="1">OFFSET(AR41,0,-1)</f>
        <v>4</v>
      </c>
      <c r="AS41" s="1399">
        <f ca="1">OFFSET(AS41,0,-1)+1</f>
        <v>5</v>
      </c>
      <c r="AT41" s="445"/>
      <c r="AU41" s="445"/>
      <c r="AV41" s="445"/>
      <c r="AW41" s="445"/>
      <c r="AX41" s="445"/>
      <c r="AY41" s="430">
        <v>0</v>
      </c>
    </row>
    <row r="42" spans="1:51" ht="24" customHeight="1">
      <c r="A42" s="1280" t="s">
        <v>286</v>
      </c>
      <c r="B42" s="1280"/>
      <c r="C42" s="1280"/>
      <c r="D42" s="1280"/>
      <c r="E42" s="3199">
        <v>1</v>
      </c>
      <c r="F42" s="1280"/>
      <c r="G42" s="1280"/>
      <c r="H42" s="1280"/>
      <c r="I42" s="1280"/>
      <c r="J42" s="1280"/>
      <c r="K42" s="1280"/>
      <c r="L42" s="1281"/>
      <c r="M42" s="1282"/>
      <c r="N42" s="1282"/>
      <c r="O42" s="1282"/>
      <c r="P42" s="295"/>
      <c r="Q42" s="294"/>
      <c r="R42" s="289"/>
      <c r="S42" s="1410">
        <f>INDEX(PT_DIFFERENTIATION_NUM_NTAR,MATCH(A42,PT_DIFFERENTIATION_NTAR_ID,0))</f>
        <v>0</v>
      </c>
      <c r="T42" s="233" t="s">
        <v>137</v>
      </c>
      <c r="U42" s="235"/>
      <c r="V42" s="3185"/>
      <c r="W42" s="3186"/>
      <c r="X42" s="3186"/>
      <c r="Y42" s="3186"/>
      <c r="Z42" s="3186"/>
      <c r="AA42" s="3186"/>
      <c r="AB42" s="3186"/>
      <c r="AC42" s="3186"/>
      <c r="AD42" s="3186"/>
      <c r="AE42" s="3186"/>
      <c r="AF42" s="3187"/>
      <c r="AG42" s="3185" t="str">
        <f>INDEX(PT_DIFFERENTIATION_NTAR,MATCH(A42,PT_DIFFERENTIATION_NTAR_ID,0))</f>
        <v/>
      </c>
      <c r="AH42" s="3186"/>
      <c r="AI42" s="3186"/>
      <c r="AJ42" s="3186"/>
      <c r="AK42" s="3186"/>
      <c r="AL42" s="3186"/>
      <c r="AM42" s="3186"/>
      <c r="AN42" s="3186"/>
      <c r="AO42" s="3186"/>
      <c r="AP42" s="3186"/>
      <c r="AQ42" s="3186"/>
      <c r="AR42" s="3187"/>
      <c r="AS42"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434"/>
      <c r="AV42" s="434" t="str">
        <f t="shared" ref="AV42:AV54" si="1">IF(T42="","",T42)</f>
        <v>Наименование тарифа</v>
      </c>
      <c r="AW42" s="434"/>
      <c r="AX42" s="434"/>
      <c r="AY42" s="1072">
        <v>23</v>
      </c>
    </row>
    <row r="43" spans="1:51" ht="24" customHeight="1">
      <c r="A43" s="1280" t="s">
        <v>286</v>
      </c>
      <c r="B43" s="1280" t="s">
        <v>287</v>
      </c>
      <c r="C43" s="1280"/>
      <c r="D43" s="1280"/>
      <c r="E43" s="3200"/>
      <c r="F43" s="3199">
        <v>1</v>
      </c>
      <c r="G43" s="1280"/>
      <c r="H43" s="1280"/>
      <c r="I43" s="1280"/>
      <c r="J43" s="1280"/>
      <c r="K43" s="1280"/>
      <c r="L43" s="1281"/>
      <c r="M43" s="1282"/>
      <c r="N43" s="1282"/>
      <c r="O43" s="1282"/>
      <c r="P43" s="1404"/>
      <c r="Q43" s="286"/>
      <c r="R43" s="287"/>
      <c r="S43" s="1410" t="str">
        <f>INDEX(PT_DIFFERENTIATION_NUM_TER,MATCH(B43,PT_DIFFERENTIATION_TER_ID,0))</f>
        <v>.</v>
      </c>
      <c r="T43" s="243" t="s">
        <v>432</v>
      </c>
      <c r="U43" s="235"/>
      <c r="V43" s="3185"/>
      <c r="W43" s="3186"/>
      <c r="X43" s="3186"/>
      <c r="Y43" s="3186"/>
      <c r="Z43" s="3186"/>
      <c r="AA43" s="3186"/>
      <c r="AB43" s="3186"/>
      <c r="AC43" s="3186"/>
      <c r="AD43" s="3186"/>
      <c r="AE43" s="3186"/>
      <c r="AF43" s="3187"/>
      <c r="AG43" s="3185" t="str">
        <f>INDEX(PT_DIFFERENTIATION_TER,MATCH(B43,PT_DIFFERENTIATION_TER_ID,0))</f>
        <v/>
      </c>
      <c r="AH43" s="3186"/>
      <c r="AI43" s="3186"/>
      <c r="AJ43" s="3186"/>
      <c r="AK43" s="3186"/>
      <c r="AL43" s="3186"/>
      <c r="AM43" s="3186"/>
      <c r="AN43" s="3186"/>
      <c r="AO43" s="3186"/>
      <c r="AP43" s="3186"/>
      <c r="AQ43" s="3186"/>
      <c r="AR43" s="3187"/>
      <c r="AS43" s="1175" t="s">
        <v>433</v>
      </c>
      <c r="AU43" s="434"/>
      <c r="AV43" s="434" t="str">
        <f t="shared" si="1"/>
        <v>Территория действия тарифа</v>
      </c>
      <c r="AW43" s="434"/>
      <c r="AX43" s="434"/>
      <c r="AY43" s="1072">
        <v>23</v>
      </c>
    </row>
    <row r="44" spans="1:51" ht="24" customHeight="1">
      <c r="A44" s="1280" t="s">
        <v>286</v>
      </c>
      <c r="B44" s="1280" t="s">
        <v>287</v>
      </c>
      <c r="C44" s="1280" t="s">
        <v>288</v>
      </c>
      <c r="D44" s="1280"/>
      <c r="E44" s="3200"/>
      <c r="F44" s="3200"/>
      <c r="G44" s="3199">
        <v>1</v>
      </c>
      <c r="H44" s="1280"/>
      <c r="I44" s="1280"/>
      <c r="J44" s="1280"/>
      <c r="K44" s="1280"/>
      <c r="L44" s="1281"/>
      <c r="M44" s="1282"/>
      <c r="N44" s="1282"/>
      <c r="O44" s="1282"/>
      <c r="P44" s="288"/>
      <c r="Q44" s="286"/>
      <c r="R44" s="287"/>
      <c r="S44" s="1410" t="str">
        <f>INDEX(PT_DIFFERENTIATION_NUM_CS,MATCH(C44,PT_DIFFERENTIATION_CS_ID,0))</f>
        <v>..</v>
      </c>
      <c r="T44" s="244" t="s">
        <v>563</v>
      </c>
      <c r="U44" s="235"/>
      <c r="V44" s="3185"/>
      <c r="W44" s="3186"/>
      <c r="X44" s="3186"/>
      <c r="Y44" s="3186"/>
      <c r="Z44" s="3186"/>
      <c r="AA44" s="3186"/>
      <c r="AB44" s="3186"/>
      <c r="AC44" s="3186"/>
      <c r="AD44" s="3186"/>
      <c r="AE44" s="3186"/>
      <c r="AF44" s="3187"/>
      <c r="AG44" s="3185" t="str">
        <f>INDEX(PT_DIFFERENTIATION_CS,MATCH(C44,PT_DIFFERENTIATION_CS_ID,0))</f>
        <v/>
      </c>
      <c r="AH44" s="3186"/>
      <c r="AI44" s="3186"/>
      <c r="AJ44" s="3186"/>
      <c r="AK44" s="3186"/>
      <c r="AL44" s="3186"/>
      <c r="AM44" s="3186"/>
      <c r="AN44" s="3186"/>
      <c r="AO44" s="3186"/>
      <c r="AP44" s="3186"/>
      <c r="AQ44" s="3186"/>
      <c r="AR44" s="3187"/>
      <c r="AS44" s="1175" t="s">
        <v>564</v>
      </c>
      <c r="AU44" s="434"/>
      <c r="AV44" s="434" t="str">
        <f t="shared" si="1"/>
        <v>Наименование централизованной системы горячего водоснабжения</v>
      </c>
      <c r="AW44" s="434"/>
      <c r="AX44" s="434"/>
      <c r="AY44" s="1072">
        <v>23</v>
      </c>
    </row>
    <row r="45" spans="1:51" ht="24" customHeight="1">
      <c r="A45" s="1280" t="s">
        <v>286</v>
      </c>
      <c r="B45" s="1280" t="s">
        <v>287</v>
      </c>
      <c r="C45" s="1280" t="s">
        <v>288</v>
      </c>
      <c r="D45" s="1280" t="s">
        <v>575</v>
      </c>
      <c r="E45" s="3200"/>
      <c r="F45" s="3200"/>
      <c r="G45" s="3200"/>
      <c r="H45" s="3200"/>
      <c r="I45" s="3197" t="str">
        <f>S44&amp;".1"</f>
        <v>...1</v>
      </c>
      <c r="J45" s="1280"/>
      <c r="K45" s="1280"/>
      <c r="L45" s="1281"/>
      <c r="P45" s="3198">
        <v>1</v>
      </c>
      <c r="Q45" s="1398"/>
      <c r="R45" s="290"/>
      <c r="S45" s="1410" t="str">
        <f>$I45</f>
        <v>...1</v>
      </c>
      <c r="T45" s="220" t="s">
        <v>516</v>
      </c>
      <c r="U45" s="235"/>
      <c r="V45" s="3266"/>
      <c r="W45" s="3267"/>
      <c r="X45" s="3267"/>
      <c r="Y45" s="3267"/>
      <c r="Z45" s="3267"/>
      <c r="AA45" s="3267"/>
      <c r="AB45" s="3267"/>
      <c r="AC45" s="3267"/>
      <c r="AD45" s="3267"/>
      <c r="AE45" s="3267"/>
      <c r="AF45" s="3268"/>
      <c r="AG45" s="3269"/>
      <c r="AH45" s="3270"/>
      <c r="AI45" s="3270"/>
      <c r="AJ45" s="3270"/>
      <c r="AK45" s="3270"/>
      <c r="AL45" s="3270"/>
      <c r="AM45" s="3270"/>
      <c r="AN45" s="3270"/>
      <c r="AO45" s="3270"/>
      <c r="AP45" s="3270"/>
      <c r="AQ45" s="3270"/>
      <c r="AR45" s="3271"/>
      <c r="AS45" s="1175" t="s">
        <v>517</v>
      </c>
      <c r="AU45" s="434"/>
      <c r="AV45" s="434" t="str">
        <f t="shared" si="1"/>
        <v>Наименование признака дифференциации</v>
      </c>
      <c r="AW45" s="434"/>
      <c r="AX45" s="434"/>
      <c r="AY45" s="1072">
        <v>23</v>
      </c>
    </row>
    <row r="46" spans="1:51" ht="24" customHeight="1">
      <c r="A46" s="1280" t="s">
        <v>286</v>
      </c>
      <c r="B46" s="1280" t="s">
        <v>287</v>
      </c>
      <c r="C46" s="1280" t="s">
        <v>288</v>
      </c>
      <c r="D46" s="1280" t="s">
        <v>575</v>
      </c>
      <c r="E46" s="3200"/>
      <c r="F46" s="3200"/>
      <c r="G46" s="3200"/>
      <c r="H46" s="3200"/>
      <c r="I46" s="3220"/>
      <c r="J46" s="3197" t="str">
        <f>I45&amp;".1"</f>
        <v>...1.1</v>
      </c>
      <c r="K46" s="1280"/>
      <c r="L46" s="1281" t="s">
        <v>441</v>
      </c>
      <c r="P46" s="3198"/>
      <c r="Q46" s="3198">
        <v>1</v>
      </c>
      <c r="R46" s="291"/>
      <c r="S46" s="1410" t="str">
        <f>$J46</f>
        <v>...1.1</v>
      </c>
      <c r="T46" s="221" t="s">
        <v>442</v>
      </c>
      <c r="U46" s="235"/>
      <c r="V46" s="3188"/>
      <c r="W46" s="3189"/>
      <c r="X46" s="3189"/>
      <c r="Y46" s="3189"/>
      <c r="Z46" s="3189"/>
      <c r="AA46" s="3189"/>
      <c r="AB46" s="3189"/>
      <c r="AC46" s="3189"/>
      <c r="AD46" s="3189"/>
      <c r="AE46" s="3189"/>
      <c r="AF46" s="3190"/>
      <c r="AG46" s="3188"/>
      <c r="AH46" s="3189"/>
      <c r="AI46" s="3189"/>
      <c r="AJ46" s="3189"/>
      <c r="AK46" s="3189"/>
      <c r="AL46" s="3189"/>
      <c r="AM46" s="3189"/>
      <c r="AN46" s="3189"/>
      <c r="AO46" s="3189"/>
      <c r="AP46" s="3189"/>
      <c r="AQ46" s="3189"/>
      <c r="AR46" s="3190"/>
      <c r="AS46" s="1224" t="s">
        <v>518</v>
      </c>
      <c r="AU46" s="434"/>
      <c r="AV46" s="434" t="str">
        <f t="shared" si="1"/>
        <v>Группа потребителей</v>
      </c>
      <c r="AW46" s="434"/>
      <c r="AX46" s="434"/>
      <c r="AY46" s="1072">
        <v>23</v>
      </c>
    </row>
    <row r="47" spans="1:51" ht="24" customHeight="1">
      <c r="A47" s="1280" t="s">
        <v>286</v>
      </c>
      <c r="B47" s="1280" t="s">
        <v>287</v>
      </c>
      <c r="C47" s="1280" t="s">
        <v>288</v>
      </c>
      <c r="D47" s="1280" t="s">
        <v>575</v>
      </c>
      <c r="E47" s="3200"/>
      <c r="F47" s="3200"/>
      <c r="G47" s="3200"/>
      <c r="H47" s="3200"/>
      <c r="I47" s="3220"/>
      <c r="J47" s="3220"/>
      <c r="K47" s="3197" t="str">
        <f>J46&amp;".1"</f>
        <v>...1.1.1</v>
      </c>
      <c r="L47" s="1281"/>
      <c r="P47" s="3198"/>
      <c r="Q47" s="3198"/>
      <c r="R47" s="291">
        <v>1</v>
      </c>
      <c r="S47" s="1410" t="str">
        <f>$K47</f>
        <v>...1.1.1</v>
      </c>
      <c r="T47" s="1354"/>
      <c r="U47" s="235"/>
      <c r="V47" s="685"/>
      <c r="W47" s="685"/>
      <c r="X47" s="685"/>
      <c r="Y47" s="685"/>
      <c r="Z47" s="685"/>
      <c r="AA47" s="685"/>
      <c r="AB47" s="685"/>
      <c r="AC47" s="3204"/>
      <c r="AD47" s="3205" t="s">
        <v>67</v>
      </c>
      <c r="AE47" s="3204"/>
      <c r="AF47" s="3205" t="s">
        <v>67</v>
      </c>
      <c r="AG47" s="685"/>
      <c r="AH47" s="685"/>
      <c r="AI47" s="685"/>
      <c r="AJ47" s="685"/>
      <c r="AK47" s="685"/>
      <c r="AL47" s="685"/>
      <c r="AM47" s="685"/>
      <c r="AN47" s="3202"/>
      <c r="AO47" s="3048" t="s">
        <v>67</v>
      </c>
      <c r="AP47" s="3221"/>
      <c r="AQ47" s="3048" t="s">
        <v>19</v>
      </c>
      <c r="AR47" s="1355"/>
      <c r="AS47" s="3265"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5" t="e">
        <f ca="1">STRCHECKDATE(V48:AR48)</f>
        <v>#NAME?</v>
      </c>
      <c r="AU47" s="434"/>
      <c r="AV47" s="434" t="str">
        <f t="shared" si="1"/>
        <v/>
      </c>
      <c r="AW47" s="434"/>
      <c r="AX47" s="434"/>
      <c r="AY47" s="1072">
        <v>23</v>
      </c>
    </row>
    <row r="48" spans="1:51" ht="0" hidden="1" customHeight="1">
      <c r="A48" s="1280" t="s">
        <v>286</v>
      </c>
      <c r="B48" s="1280" t="s">
        <v>287</v>
      </c>
      <c r="C48" s="1280" t="s">
        <v>288</v>
      </c>
      <c r="D48" s="1280" t="s">
        <v>575</v>
      </c>
      <c r="E48" s="3200"/>
      <c r="F48" s="3200"/>
      <c r="G48" s="3200"/>
      <c r="H48" s="3200"/>
      <c r="I48" s="3220"/>
      <c r="J48" s="3220"/>
      <c r="K48" s="3197"/>
      <c r="L48" s="1281"/>
      <c r="P48" s="3198"/>
      <c r="Q48" s="3198"/>
      <c r="R48" s="291"/>
      <c r="S48" s="1407"/>
      <c r="T48" s="235"/>
      <c r="U48" s="235"/>
      <c r="V48" s="1277"/>
      <c r="W48" s="1277"/>
      <c r="X48" s="1277"/>
      <c r="Y48" s="1277"/>
      <c r="Z48" s="1277"/>
      <c r="AA48" s="1277"/>
      <c r="AB48" s="1277"/>
      <c r="AC48" s="3205"/>
      <c r="AD48" s="3205"/>
      <c r="AE48" s="3205"/>
      <c r="AF48" s="3205"/>
      <c r="AG48" s="260"/>
      <c r="AH48" s="260"/>
      <c r="AI48" s="260"/>
      <c r="AJ48" s="260"/>
      <c r="AK48" s="260"/>
      <c r="AL48" s="260"/>
      <c r="AM48" s="260"/>
      <c r="AN48" s="3203"/>
      <c r="AO48" s="3048"/>
      <c r="AP48" s="3222"/>
      <c r="AQ48" s="3048"/>
      <c r="AR48" s="1356"/>
      <c r="AS48" s="3265"/>
      <c r="AU48" s="434"/>
      <c r="AV48" s="434" t="str">
        <f t="shared" si="1"/>
        <v/>
      </c>
      <c r="AW48" s="434"/>
      <c r="AX48" s="434"/>
      <c r="AY48" s="1072">
        <v>0</v>
      </c>
    </row>
    <row r="49" spans="1:51" ht="21" customHeight="1">
      <c r="A49" s="1280" t="s">
        <v>286</v>
      </c>
      <c r="B49" s="1280" t="s">
        <v>287</v>
      </c>
      <c r="C49" s="1280" t="s">
        <v>288</v>
      </c>
      <c r="D49" s="1280" t="s">
        <v>575</v>
      </c>
      <c r="E49" s="3200"/>
      <c r="F49" s="3200"/>
      <c r="G49" s="3200"/>
      <c r="H49" s="3200"/>
      <c r="I49" s="3220"/>
      <c r="J49" s="3197"/>
      <c r="K49" s="1280"/>
      <c r="L49" s="1281"/>
      <c r="P49" s="3198"/>
      <c r="Q49" s="3198"/>
      <c r="R49" s="290"/>
      <c r="S49" s="1195"/>
      <c r="T49" s="222" t="s">
        <v>519</v>
      </c>
      <c r="U49" s="301"/>
      <c r="V49" s="301"/>
      <c r="W49" s="534"/>
      <c r="X49" s="534"/>
      <c r="Y49" s="534"/>
      <c r="Z49" s="534"/>
      <c r="AA49" s="534"/>
      <c r="AB49" s="534"/>
      <c r="AC49" s="301"/>
      <c r="AD49" s="301"/>
      <c r="AE49" s="301"/>
      <c r="AF49" s="301"/>
      <c r="AG49" s="301"/>
      <c r="AH49" s="534"/>
      <c r="AI49" s="534"/>
      <c r="AJ49" s="534"/>
      <c r="AK49" s="534"/>
      <c r="AL49" s="534"/>
      <c r="AM49" s="301"/>
      <c r="AN49" s="301"/>
      <c r="AO49" s="301"/>
      <c r="AP49" s="301"/>
      <c r="AQ49" s="301"/>
      <c r="AR49" s="301"/>
      <c r="AS49" s="1175" t="s">
        <v>520</v>
      </c>
      <c r="AU49" s="434"/>
      <c r="AV49" s="434" t="str">
        <f t="shared" si="1"/>
        <v>Добавить значение признака дифференциации</v>
      </c>
      <c r="AW49" s="434"/>
      <c r="AX49" s="434"/>
      <c r="AY49" s="1072">
        <v>20</v>
      </c>
    </row>
    <row r="50" spans="1:51" ht="22" customHeight="1">
      <c r="A50" s="1280" t="s">
        <v>286</v>
      </c>
      <c r="B50" s="1280" t="s">
        <v>287</v>
      </c>
      <c r="C50" s="1280" t="s">
        <v>288</v>
      </c>
      <c r="D50" s="1280" t="s">
        <v>575</v>
      </c>
      <c r="E50" s="3200"/>
      <c r="F50" s="3200"/>
      <c r="G50" s="3200"/>
      <c r="H50" s="3200"/>
      <c r="I50" s="3197"/>
      <c r="J50" s="1280"/>
      <c r="K50" s="1280"/>
      <c r="L50" s="1281"/>
      <c r="P50" s="3198"/>
      <c r="Q50" s="1398"/>
      <c r="R50" s="290"/>
      <c r="S50" s="1195"/>
      <c r="T50" s="299" t="s">
        <v>447</v>
      </c>
      <c r="U50" s="301"/>
      <c r="V50" s="301"/>
      <c r="W50" s="534"/>
      <c r="X50" s="534"/>
      <c r="Y50" s="534"/>
      <c r="Z50" s="534"/>
      <c r="AA50" s="534"/>
      <c r="AB50" s="534"/>
      <c r="AC50" s="301"/>
      <c r="AD50" s="301"/>
      <c r="AE50" s="301"/>
      <c r="AF50" s="300"/>
      <c r="AG50" s="301"/>
      <c r="AH50" s="534"/>
      <c r="AI50" s="534"/>
      <c r="AJ50" s="534"/>
      <c r="AK50" s="534"/>
      <c r="AL50" s="534"/>
      <c r="AM50" s="301"/>
      <c r="AN50" s="301"/>
      <c r="AO50" s="301"/>
      <c r="AP50" s="301"/>
      <c r="AQ50" s="300"/>
      <c r="AR50" s="301"/>
      <c r="AS50" s="1357"/>
      <c r="AU50" s="434"/>
      <c r="AV50" s="434" t="str">
        <f t="shared" si="1"/>
        <v>Добавить группу потребителей</v>
      </c>
      <c r="AW50" s="434"/>
      <c r="AX50" s="434"/>
      <c r="AY50" s="1072">
        <v>21</v>
      </c>
    </row>
    <row r="51" spans="1:51" ht="22" customHeight="1">
      <c r="A51" s="1280" t="s">
        <v>286</v>
      </c>
      <c r="B51" s="1280" t="s">
        <v>287</v>
      </c>
      <c r="C51" s="1280" t="s">
        <v>288</v>
      </c>
      <c r="D51" s="1280" t="s">
        <v>575</v>
      </c>
      <c r="E51" s="3200"/>
      <c r="F51" s="3200"/>
      <c r="G51" s="3200"/>
      <c r="H51" s="3199"/>
      <c r="I51" s="1280"/>
      <c r="J51" s="1280"/>
      <c r="K51" s="1280"/>
      <c r="L51" s="1281"/>
      <c r="M51" s="1282"/>
      <c r="N51" s="1282"/>
      <c r="O51" s="471"/>
      <c r="P51" s="294"/>
      <c r="Q51" s="309"/>
      <c r="R51" s="289"/>
      <c r="S51" s="1195"/>
      <c r="T51" s="306" t="s">
        <v>521</v>
      </c>
      <c r="U51" s="301"/>
      <c r="V51" s="301"/>
      <c r="W51" s="534"/>
      <c r="X51" s="534"/>
      <c r="Y51" s="534"/>
      <c r="Z51" s="534"/>
      <c r="AA51" s="534"/>
      <c r="AB51" s="534"/>
      <c r="AC51" s="301"/>
      <c r="AD51" s="301"/>
      <c r="AE51" s="301"/>
      <c r="AF51" s="300"/>
      <c r="AG51" s="301"/>
      <c r="AH51" s="534"/>
      <c r="AI51" s="534"/>
      <c r="AJ51" s="534"/>
      <c r="AK51" s="534"/>
      <c r="AL51" s="534"/>
      <c r="AM51" s="301"/>
      <c r="AN51" s="301"/>
      <c r="AO51" s="301"/>
      <c r="AP51" s="301"/>
      <c r="AQ51" s="300"/>
      <c r="AR51" s="301"/>
      <c r="AS51" s="238"/>
      <c r="AU51" s="434"/>
      <c r="AV51" s="434" t="str">
        <f t="shared" si="1"/>
        <v>Добавить наименование признака дифференциации</v>
      </c>
      <c r="AW51" s="434"/>
      <c r="AX51" s="434"/>
      <c r="AY51" s="1072">
        <v>21</v>
      </c>
    </row>
    <row r="52" spans="1:51" s="2017" customFormat="1" ht="0" hidden="1" customHeight="1">
      <c r="A52" s="1260" t="s">
        <v>286</v>
      </c>
      <c r="B52" s="1260" t="s">
        <v>287</v>
      </c>
      <c r="C52" s="1231"/>
      <c r="D52" s="1231"/>
      <c r="E52" s="3200"/>
      <c r="F52" s="3199"/>
      <c r="G52" s="1231"/>
      <c r="H52" s="1231"/>
      <c r="I52" s="1231"/>
      <c r="J52" s="1231"/>
      <c r="K52" s="1231"/>
      <c r="L52" s="1411"/>
      <c r="M52" s="1238"/>
      <c r="N52" s="1238"/>
      <c r="P52" s="1233"/>
      <c r="Q52" s="1234"/>
      <c r="R52" s="1233"/>
      <c r="S52" s="1239"/>
      <c r="T52" s="1242" t="s">
        <v>181</v>
      </c>
      <c r="U52" s="1241"/>
      <c r="V52" s="1241"/>
      <c r="W52" s="1241"/>
      <c r="X52" s="1241"/>
      <c r="Y52" s="1241"/>
      <c r="Z52" s="1241"/>
      <c r="AA52" s="1241"/>
      <c r="AB52" s="1241"/>
      <c r="AC52" s="1241"/>
      <c r="AD52" s="1241"/>
      <c r="AE52" s="1241"/>
      <c r="AF52" s="1241"/>
      <c r="AG52" s="1241"/>
      <c r="AH52" s="1241"/>
      <c r="AI52" s="1241"/>
      <c r="AJ52" s="1241"/>
      <c r="AK52" s="1241"/>
      <c r="AL52" s="1241"/>
      <c r="AM52" s="1241"/>
      <c r="AN52" s="1241"/>
      <c r="AO52" s="1241"/>
      <c r="AP52" s="1241"/>
      <c r="AQ52" s="1241"/>
      <c r="AR52" s="1241"/>
      <c r="AS52" s="1241"/>
      <c r="AU52" s="717"/>
      <c r="AV52" s="717" t="str">
        <f t="shared" si="1"/>
        <v>Добавить централизованную систему для дифференциации</v>
      </c>
      <c r="AW52" s="717"/>
      <c r="AX52" s="717"/>
      <c r="AY52" s="452">
        <v>0</v>
      </c>
    </row>
    <row r="53" spans="1:51" s="2017" customFormat="1" ht="0" hidden="1" customHeight="1">
      <c r="A53" s="1260" t="s">
        <v>286</v>
      </c>
      <c r="B53" s="1260"/>
      <c r="C53" s="1260"/>
      <c r="D53" s="1260"/>
      <c r="E53" s="3199"/>
      <c r="F53" s="1260"/>
      <c r="G53" s="1260"/>
      <c r="H53" s="1260"/>
      <c r="I53" s="1260"/>
      <c r="J53" s="1260"/>
      <c r="K53" s="1260"/>
      <c r="L53" s="1263"/>
      <c r="M53" s="1238"/>
      <c r="N53" s="1238"/>
      <c r="O53" s="452"/>
      <c r="P53" s="314"/>
      <c r="Q53" s="1261"/>
      <c r="R53" s="314"/>
      <c r="S53" s="1239"/>
      <c r="T53" s="1242" t="s">
        <v>188</v>
      </c>
      <c r="U53" s="1241"/>
      <c r="V53" s="1241"/>
      <c r="W53" s="1241"/>
      <c r="X53" s="1241"/>
      <c r="Y53" s="1241"/>
      <c r="Z53" s="1241"/>
      <c r="AA53" s="1241"/>
      <c r="AB53" s="1241"/>
      <c r="AC53" s="1241"/>
      <c r="AD53" s="1241"/>
      <c r="AE53" s="1241"/>
      <c r="AF53" s="1241"/>
      <c r="AG53" s="1241"/>
      <c r="AH53" s="1241"/>
      <c r="AI53" s="1241"/>
      <c r="AJ53" s="1241"/>
      <c r="AK53" s="1241"/>
      <c r="AL53" s="1241"/>
      <c r="AM53" s="1241"/>
      <c r="AN53" s="1241"/>
      <c r="AO53" s="1241"/>
      <c r="AP53" s="1241"/>
      <c r="AQ53" s="1241"/>
      <c r="AR53" s="1241"/>
      <c r="AS53" s="1241"/>
      <c r="AU53" s="434"/>
      <c r="AV53" s="434" t="str">
        <f t="shared" si="1"/>
        <v>Добавить территорию для дифференциации</v>
      </c>
      <c r="AW53" s="434"/>
      <c r="AX53" s="434"/>
      <c r="AY53" s="445">
        <v>0</v>
      </c>
    </row>
    <row r="54" spans="1:51" s="2017" customFormat="1" ht="0" hidden="1" customHeight="1">
      <c r="A54" s="1231"/>
      <c r="B54" s="1231"/>
      <c r="C54" s="1231"/>
      <c r="D54" s="1231"/>
      <c r="E54" s="1260"/>
      <c r="F54" s="1231"/>
      <c r="G54" s="1231"/>
      <c r="H54" s="1231"/>
      <c r="I54" s="1231"/>
      <c r="J54" s="1231"/>
      <c r="K54" s="1231"/>
      <c r="L54" s="1411"/>
      <c r="M54" s="1238"/>
      <c r="N54" s="1238"/>
      <c r="P54" s="1233"/>
      <c r="Q54" s="1234"/>
      <c r="R54" s="1233"/>
      <c r="S54" s="1239"/>
      <c r="T54" s="1242" t="s">
        <v>189</v>
      </c>
      <c r="U54" s="1241"/>
      <c r="V54" s="1241"/>
      <c r="W54" s="1241"/>
      <c r="X54" s="1241"/>
      <c r="Y54" s="1241"/>
      <c r="Z54" s="1241"/>
      <c r="AA54" s="1241"/>
      <c r="AB54" s="1241"/>
      <c r="AC54" s="1241"/>
      <c r="AD54" s="1241"/>
      <c r="AE54" s="1241"/>
      <c r="AF54" s="1241"/>
      <c r="AG54" s="1241"/>
      <c r="AH54" s="1241"/>
      <c r="AI54" s="1241"/>
      <c r="AJ54" s="1241"/>
      <c r="AK54" s="1241"/>
      <c r="AL54" s="1241"/>
      <c r="AM54" s="1241"/>
      <c r="AN54" s="1241"/>
      <c r="AO54" s="1241"/>
      <c r="AP54" s="1241"/>
      <c r="AQ54" s="1241"/>
      <c r="AR54" s="1241"/>
      <c r="AS54" s="1241"/>
      <c r="AU54" s="717"/>
      <c r="AV54" s="717" t="str">
        <f t="shared" si="1"/>
        <v>Добавить наименование тарифа</v>
      </c>
      <c r="AW54" s="717"/>
      <c r="AX54" s="717"/>
      <c r="AY54" s="452">
        <v>0</v>
      </c>
    </row>
    <row r="55" spans="1:51" ht="11.5" customHeight="1">
      <c r="M55" s="1077"/>
      <c r="N55" s="1077"/>
      <c r="O55" s="471"/>
      <c r="P55" s="1072"/>
      <c r="Q55" s="1072"/>
      <c r="R55" s="1072"/>
      <c r="S55" s="1072"/>
      <c r="AT55" s="1072"/>
      <c r="AU55" s="1072"/>
      <c r="AV55" s="1072"/>
      <c r="AW55" s="1072"/>
      <c r="AX55" s="1072"/>
      <c r="AY55" s="1072">
        <v>11</v>
      </c>
    </row>
    <row r="56" spans="1:51" ht="14.65" customHeight="1">
      <c r="O56" s="471"/>
      <c r="S56" s="1170"/>
      <c r="T56" s="3219"/>
      <c r="U56" s="3219"/>
      <c r="V56" s="3219"/>
      <c r="W56" s="3219"/>
      <c r="X56" s="3219"/>
      <c r="Y56" s="3219"/>
      <c r="Z56" s="3219"/>
      <c r="AA56" s="3219"/>
      <c r="AB56" s="3219"/>
      <c r="AC56" s="3219"/>
      <c r="AD56" s="3219"/>
      <c r="AE56" s="3219"/>
      <c r="AF56" s="3219"/>
      <c r="AG56" s="3219"/>
      <c r="AH56" s="3219"/>
      <c r="AI56" s="3219"/>
      <c r="AJ56" s="3219"/>
      <c r="AK56" s="3219"/>
      <c r="AL56" s="3219"/>
      <c r="AM56" s="3219"/>
      <c r="AN56" s="3219"/>
      <c r="AO56" s="3219"/>
      <c r="AP56" s="3219"/>
      <c r="AQ56" s="3219"/>
      <c r="AR56" s="3219"/>
      <c r="AS56" s="3219"/>
      <c r="AY56" s="1072">
        <v>14</v>
      </c>
    </row>
    <row r="57" spans="1:51" ht="14.65" customHeight="1">
      <c r="O57" s="471"/>
      <c r="AY57" s="1072">
        <v>14</v>
      </c>
    </row>
    <row r="58" spans="1:51" ht="14.65" customHeight="1">
      <c r="O58" s="471"/>
      <c r="S58" s="1170"/>
      <c r="T58" s="3219"/>
      <c r="U58" s="3219"/>
      <c r="V58" s="3219"/>
      <c r="W58" s="3219"/>
      <c r="X58" s="3219"/>
      <c r="Y58" s="3219"/>
      <c r="Z58" s="3219"/>
      <c r="AA58" s="3219"/>
      <c r="AB58" s="3219"/>
      <c r="AC58" s="3219"/>
      <c r="AD58" s="3219"/>
      <c r="AE58" s="3219"/>
      <c r="AF58" s="3219"/>
      <c r="AG58" s="3219"/>
      <c r="AH58" s="3219"/>
      <c r="AI58" s="3219"/>
      <c r="AJ58" s="3219"/>
      <c r="AK58" s="3219"/>
      <c r="AL58" s="3219"/>
      <c r="AM58" s="3219"/>
      <c r="AN58" s="3219"/>
      <c r="AO58" s="3219"/>
      <c r="AP58" s="3219"/>
      <c r="AQ58" s="3219"/>
      <c r="AR58" s="3219"/>
      <c r="AS58" s="3219"/>
      <c r="AY58" s="1072">
        <v>14</v>
      </c>
    </row>
    <row r="59" spans="1:51" ht="22.5" hidden="1" customHeight="1">
      <c r="A59" s="1077" t="s">
        <v>83</v>
      </c>
      <c r="B59" s="1077">
        <v>0</v>
      </c>
      <c r="C59" s="1077">
        <v>0</v>
      </c>
      <c r="D59" s="1077">
        <v>0</v>
      </c>
      <c r="E59" s="1077">
        <v>0</v>
      </c>
      <c r="F59" s="1077">
        <v>0</v>
      </c>
      <c r="G59" s="1077">
        <v>0</v>
      </c>
      <c r="H59" s="1077">
        <v>0</v>
      </c>
      <c r="I59" s="1077">
        <v>0</v>
      </c>
      <c r="J59" s="1077">
        <v>0</v>
      </c>
      <c r="K59" s="1077">
        <v>0</v>
      </c>
      <c r="L59" s="1395">
        <v>0</v>
      </c>
      <c r="M59" s="1279">
        <v>0</v>
      </c>
      <c r="N59" s="1279">
        <v>0</v>
      </c>
      <c r="O59" s="1279">
        <v>0</v>
      </c>
      <c r="P59" s="1390">
        <v>3</v>
      </c>
      <c r="Q59" s="279">
        <v>3</v>
      </c>
      <c r="R59" s="279">
        <v>3</v>
      </c>
      <c r="S59" s="515">
        <v>12</v>
      </c>
      <c r="T59" s="1072">
        <v>35</v>
      </c>
      <c r="U59" s="1072">
        <v>0</v>
      </c>
      <c r="V59" s="1072">
        <v>0</v>
      </c>
      <c r="W59" s="1548">
        <v>0</v>
      </c>
      <c r="X59" s="1548">
        <v>0</v>
      </c>
      <c r="Y59" s="1548">
        <v>0</v>
      </c>
      <c r="Z59" s="1548">
        <v>0</v>
      </c>
      <c r="AA59" s="1548">
        <v>0</v>
      </c>
      <c r="AB59" s="1548">
        <v>0</v>
      </c>
      <c r="AC59" s="1072">
        <v>0</v>
      </c>
      <c r="AD59" s="1072">
        <v>0</v>
      </c>
      <c r="AE59" s="1072">
        <v>0</v>
      </c>
      <c r="AF59" s="1072">
        <v>0</v>
      </c>
      <c r="AG59" s="1072">
        <v>19</v>
      </c>
      <c r="AH59" s="1548">
        <v>19</v>
      </c>
      <c r="AI59" s="1548">
        <v>19</v>
      </c>
      <c r="AJ59" s="1548">
        <v>19</v>
      </c>
      <c r="AK59" s="1548">
        <v>19</v>
      </c>
      <c r="AL59" s="1548">
        <v>19</v>
      </c>
      <c r="AM59" s="1072">
        <v>19</v>
      </c>
      <c r="AN59" s="1072">
        <v>11</v>
      </c>
      <c r="AO59" s="1072">
        <v>3</v>
      </c>
      <c r="AP59" s="1072">
        <v>11</v>
      </c>
      <c r="AQ59" s="1072">
        <v>0</v>
      </c>
      <c r="AR59" s="1072">
        <v>4</v>
      </c>
      <c r="AS59" s="1072">
        <v>115</v>
      </c>
      <c r="AT59" s="445">
        <v>10</v>
      </c>
      <c r="AU59" s="445">
        <v>10</v>
      </c>
      <c r="AV59" s="445">
        <v>10</v>
      </c>
      <c r="AW59" s="445">
        <v>10</v>
      </c>
      <c r="AX59" s="445">
        <v>10</v>
      </c>
      <c r="AY59" s="1072">
        <v>23</v>
      </c>
    </row>
  </sheetData>
  <sheetProtection formatColumns="0" formatRows="0" insertRows="0" deleteColumns="0" deleteRows="0" sort="0" autoFilter="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xr:uid="{00000000-0002-0000-1D00-000000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xr:uid="{00000000-0002-0000-1D00-000001000000}"/>
    <dataValidation type="list" allowBlank="1" showInputMessage="1" showErrorMessage="1" errorTitle="Ошибка" error="Выберите значение из списка" sqref="T65579 T131115 T196651 T262187 T327723 T393259 T458795 T524331 T589867 T655403 T720939 T786475 T852011 T917547 T983083" xr:uid="{00000000-0002-0000-1D00-000002000000}">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xr:uid="{00000000-0002-0000-1D00-000003000000}">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xr:uid="{00000000-0002-0000-1D00-000004000000}">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xr:uid="{00000000-0002-0000-1D00-000005000000}">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xr:uid="{00000000-0002-0000-1D00-000006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1EA2EB-17F5-29DD-5A21-700BBD6889A5}">
  <sheetPr>
    <tabColor theme="6" tint="0.39997558519241921"/>
  </sheetPr>
  <dimension ref="A1:AY59"/>
  <sheetViews>
    <sheetView showGridLines="0" topLeftCell="P23" zoomScale="90" workbookViewId="0"/>
  </sheetViews>
  <sheetFormatPr defaultColWidth="10.59765625" defaultRowHeight="14.25" customHeight="1"/>
  <cols>
    <col min="1" max="1" width="10.59765625" style="2016" hidden="1"/>
    <col min="2" max="2" width="11" style="2016" hidden="1" customWidth="1"/>
    <col min="3" max="3" width="10.59765625" style="2016" hidden="1"/>
    <col min="4" max="4" width="11.796875" style="2016" hidden="1" customWidth="1"/>
    <col min="5" max="5" width="10" style="2016" hidden="1" customWidth="1"/>
    <col min="6" max="6" width="8.69921875" style="2016" hidden="1" customWidth="1"/>
    <col min="7" max="7" width="7.59765625" style="2016" hidden="1" customWidth="1"/>
    <col min="8" max="8" width="11.3984375" style="2016" hidden="1" customWidth="1"/>
    <col min="9" max="9" width="14.09765625" style="2016" hidden="1" customWidth="1"/>
    <col min="10" max="10" width="9.796875" style="2016" hidden="1" customWidth="1"/>
    <col min="11" max="11" width="14.69921875" style="2016" hidden="1" customWidth="1"/>
    <col min="12" max="12" width="19.09765625" style="2216" hidden="1" customWidth="1"/>
    <col min="13" max="14" width="12.296875" style="2006" hidden="1" customWidth="1"/>
    <col min="15" max="15" width="23.3984375" style="2006" hidden="1" customWidth="1"/>
    <col min="16" max="16" width="3" style="2217" customWidth="1"/>
    <col min="17" max="18" width="3" style="2215" customWidth="1"/>
    <col min="19" max="19" width="12" style="2218" customWidth="1"/>
    <col min="20" max="20" width="35" style="2004" customWidth="1"/>
    <col min="21" max="21" width="9.765625E-2" style="2004" customWidth="1"/>
    <col min="22" max="28" width="19.69921875" style="2004" hidden="1" customWidth="1"/>
    <col min="29" max="29" width="11.69921875" style="2004" hidden="1" customWidth="1"/>
    <col min="30" max="30" width="3.69921875" style="2004" hidden="1" customWidth="1"/>
    <col min="31" max="31" width="11.69921875" style="2004" hidden="1" customWidth="1"/>
    <col min="32" max="32" width="8.59765625" style="2004" hidden="1" customWidth="1"/>
    <col min="33" max="33" width="19.69921875" style="2004" customWidth="1"/>
    <col min="34" max="39" width="19" style="2004" customWidth="1"/>
    <col min="40" max="40" width="11" style="2004" customWidth="1"/>
    <col min="41" max="41" width="3.69921875" style="2004" customWidth="1"/>
    <col min="42" max="42" width="11" style="2004" customWidth="1"/>
    <col min="43" max="43" width="8.59765625" style="2004" hidden="1" customWidth="1"/>
    <col min="44" max="44" width="4" style="2004" customWidth="1"/>
    <col min="45" max="45" width="115" style="2004" customWidth="1"/>
    <col min="46" max="50" width="10" style="2017" customWidth="1"/>
    <col min="51" max="51" width="10.59765625" style="2004" hidden="1"/>
  </cols>
  <sheetData>
    <row r="1" spans="1:51" ht="22.5" hidden="1" customHeight="1">
      <c r="AB1" s="262"/>
      <c r="AC1" s="262"/>
      <c r="AM1" s="262"/>
      <c r="AN1" s="262"/>
      <c r="AY1" s="1072" t="s">
        <v>14</v>
      </c>
    </row>
    <row r="2" spans="1:51" ht="23.25" hidden="1" customHeight="1">
      <c r="A2" s="1280"/>
      <c r="B2" s="1280"/>
      <c r="C2" s="1280"/>
      <c r="D2" s="1280"/>
      <c r="E2" s="3199">
        <v>1</v>
      </c>
      <c r="F2" s="1280"/>
      <c r="G2" s="1280"/>
      <c r="H2" s="1280"/>
      <c r="I2" s="1280"/>
      <c r="J2" s="1280"/>
      <c r="K2" s="1280"/>
      <c r="L2" s="1281"/>
      <c r="M2" s="1282"/>
      <c r="N2" s="1282"/>
      <c r="O2" s="1282"/>
      <c r="P2" s="295"/>
      <c r="Q2" s="294"/>
      <c r="R2" s="289"/>
      <c r="S2" s="1410" t="e">
        <f>INDEX(PT_DIFFERENTIATION_NUM_NTAR,MATCH(A2,PT_DIFFERENTIATION_NTAR_ID,0))</f>
        <v>#N/A</v>
      </c>
      <c r="T2" s="233" t="s">
        <v>137</v>
      </c>
      <c r="U2" s="235"/>
      <c r="V2" s="3185"/>
      <c r="W2" s="3186"/>
      <c r="X2" s="3186"/>
      <c r="Y2" s="3186"/>
      <c r="Z2" s="3186"/>
      <c r="AA2" s="3186"/>
      <c r="AB2" s="3186"/>
      <c r="AC2" s="3186"/>
      <c r="AD2" s="3186"/>
      <c r="AE2" s="3186"/>
      <c r="AF2" s="3187"/>
      <c r="AG2" s="3185" t="e">
        <f>INDEX(PT_DIFFERENTIATION_NTAR,MATCH(A2,PT_DIFFERENTIATION_NTAR_ID,0))</f>
        <v>#N/A</v>
      </c>
      <c r="AH2" s="3186"/>
      <c r="AI2" s="3186"/>
      <c r="AJ2" s="3186"/>
      <c r="AK2" s="3186"/>
      <c r="AL2" s="3186"/>
      <c r="AM2" s="3186"/>
      <c r="AN2" s="3186"/>
      <c r="AO2" s="3186"/>
      <c r="AP2" s="3186"/>
      <c r="AQ2" s="3186"/>
      <c r="AR2" s="3187"/>
      <c r="AS2"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434"/>
      <c r="AV2" s="434" t="str">
        <f t="shared" ref="AV2:AV13" si="0">IF(T2="","",T2)</f>
        <v>Наименование тарифа</v>
      </c>
      <c r="AW2" s="434"/>
      <c r="AX2" s="434"/>
      <c r="AY2" s="1072">
        <v>0</v>
      </c>
    </row>
    <row r="3" spans="1:51" ht="23.25" hidden="1" customHeight="1">
      <c r="A3" s="1280"/>
      <c r="B3" s="1280"/>
      <c r="C3" s="1280"/>
      <c r="D3" s="1280"/>
      <c r="E3" s="3200"/>
      <c r="F3" s="3199">
        <v>1</v>
      </c>
      <c r="G3" s="1280"/>
      <c r="H3" s="1280"/>
      <c r="I3" s="1280"/>
      <c r="J3" s="1280"/>
      <c r="K3" s="1280"/>
      <c r="L3" s="1281"/>
      <c r="M3" s="1282"/>
      <c r="N3" s="1282"/>
      <c r="O3" s="1282"/>
      <c r="P3" s="1404"/>
      <c r="Q3" s="286"/>
      <c r="R3" s="287"/>
      <c r="S3" s="1410" t="e">
        <f>INDEX(PT_DIFFERENTIATION_NUM_TER,MATCH(B3,PT_DIFFERENTIATION_TER_ID,0))</f>
        <v>#N/A</v>
      </c>
      <c r="T3" s="243" t="s">
        <v>432</v>
      </c>
      <c r="U3" s="235"/>
      <c r="V3" s="3185"/>
      <c r="W3" s="3186"/>
      <c r="X3" s="3186"/>
      <c r="Y3" s="3186"/>
      <c r="Z3" s="3186"/>
      <c r="AA3" s="3186"/>
      <c r="AB3" s="3186"/>
      <c r="AC3" s="3186"/>
      <c r="AD3" s="3186"/>
      <c r="AE3" s="3186"/>
      <c r="AF3" s="3187"/>
      <c r="AG3" s="3185" t="e">
        <f>INDEX(PT_DIFFERENTIATION_TER,MATCH(B3,PT_DIFFERENTIATION_TER_ID,0))</f>
        <v>#N/A</v>
      </c>
      <c r="AH3" s="3186"/>
      <c r="AI3" s="3186"/>
      <c r="AJ3" s="3186"/>
      <c r="AK3" s="3186"/>
      <c r="AL3" s="3186"/>
      <c r="AM3" s="3186"/>
      <c r="AN3" s="3186"/>
      <c r="AO3" s="3186"/>
      <c r="AP3" s="3186"/>
      <c r="AQ3" s="3186"/>
      <c r="AR3" s="3187"/>
      <c r="AS3" s="1175" t="s">
        <v>433</v>
      </c>
      <c r="AU3" s="434"/>
      <c r="AV3" s="434" t="str">
        <f t="shared" si="0"/>
        <v>Территория действия тарифа</v>
      </c>
      <c r="AW3" s="434"/>
      <c r="AX3" s="434"/>
      <c r="AY3" s="1072">
        <v>0</v>
      </c>
    </row>
    <row r="4" spans="1:51" ht="23.25" hidden="1" customHeight="1">
      <c r="A4" s="1280"/>
      <c r="B4" s="1280"/>
      <c r="C4" s="1280"/>
      <c r="D4" s="1280"/>
      <c r="E4" s="3200"/>
      <c r="F4" s="3200"/>
      <c r="G4" s="3199">
        <v>1</v>
      </c>
      <c r="H4" s="1280"/>
      <c r="I4" s="1280"/>
      <c r="J4" s="1280"/>
      <c r="K4" s="1280"/>
      <c r="L4" s="1281"/>
      <c r="M4" s="1282"/>
      <c r="N4" s="1282"/>
      <c r="O4" s="1282"/>
      <c r="P4" s="288"/>
      <c r="Q4" s="286"/>
      <c r="R4" s="287"/>
      <c r="S4" s="1410" t="e">
        <f>INDEX(PT_DIFFERENTIATION_NUM_CS,MATCH(C4,PT_DIFFERENTIATION_CS_ID,0))</f>
        <v>#N/A</v>
      </c>
      <c r="T4" s="244" t="s">
        <v>563</v>
      </c>
      <c r="U4" s="235"/>
      <c r="V4" s="3185"/>
      <c r="W4" s="3186"/>
      <c r="X4" s="3186"/>
      <c r="Y4" s="3186"/>
      <c r="Z4" s="3186"/>
      <c r="AA4" s="3186"/>
      <c r="AB4" s="3186"/>
      <c r="AC4" s="3186"/>
      <c r="AD4" s="3186"/>
      <c r="AE4" s="3186"/>
      <c r="AF4" s="3187"/>
      <c r="AG4" s="3185" t="e">
        <f>INDEX(PT_DIFFERENTIATION_CS,MATCH(C4,PT_DIFFERENTIATION_CS_ID,0))</f>
        <v>#N/A</v>
      </c>
      <c r="AH4" s="3186"/>
      <c r="AI4" s="3186"/>
      <c r="AJ4" s="3186"/>
      <c r="AK4" s="3186"/>
      <c r="AL4" s="3186"/>
      <c r="AM4" s="3186"/>
      <c r="AN4" s="3186"/>
      <c r="AO4" s="3186"/>
      <c r="AP4" s="3186"/>
      <c r="AQ4" s="3186"/>
      <c r="AR4" s="3187"/>
      <c r="AS4" s="1175" t="s">
        <v>564</v>
      </c>
      <c r="AU4" s="434"/>
      <c r="AV4" s="434" t="str">
        <f t="shared" si="0"/>
        <v>Наименование централизованной системы горячего водоснабжения</v>
      </c>
      <c r="AW4" s="434"/>
      <c r="AX4" s="434"/>
      <c r="AY4" s="1072">
        <v>0</v>
      </c>
    </row>
    <row r="5" spans="1:51" ht="23.25" hidden="1" customHeight="1">
      <c r="A5" s="1280"/>
      <c r="B5" s="1280"/>
      <c r="C5" s="1280"/>
      <c r="D5" s="1280"/>
      <c r="E5" s="3200"/>
      <c r="F5" s="3200"/>
      <c r="G5" s="3200"/>
      <c r="H5" s="3200"/>
      <c r="I5" s="3197" t="e">
        <f>S4&amp;".1"</f>
        <v>#N/A</v>
      </c>
      <c r="J5" s="1280"/>
      <c r="K5" s="1280"/>
      <c r="L5" s="1281"/>
      <c r="P5" s="3198">
        <v>1</v>
      </c>
      <c r="Q5" s="1398"/>
      <c r="R5" s="290"/>
      <c r="S5" s="1410" t="e">
        <f>$I5</f>
        <v>#N/A</v>
      </c>
      <c r="T5" s="220" t="s">
        <v>516</v>
      </c>
      <c r="U5" s="235"/>
      <c r="V5" s="3266"/>
      <c r="W5" s="3267"/>
      <c r="X5" s="3267"/>
      <c r="Y5" s="3267"/>
      <c r="Z5" s="3267"/>
      <c r="AA5" s="3267"/>
      <c r="AB5" s="3267"/>
      <c r="AC5" s="3267"/>
      <c r="AD5" s="3267"/>
      <c r="AE5" s="3267"/>
      <c r="AF5" s="3268"/>
      <c r="AG5" s="3269"/>
      <c r="AH5" s="3270"/>
      <c r="AI5" s="3270"/>
      <c r="AJ5" s="3270"/>
      <c r="AK5" s="3270"/>
      <c r="AL5" s="3270"/>
      <c r="AM5" s="3270"/>
      <c r="AN5" s="3270"/>
      <c r="AO5" s="3270"/>
      <c r="AP5" s="3270"/>
      <c r="AQ5" s="3270"/>
      <c r="AR5" s="3271"/>
      <c r="AS5" s="1175" t="s">
        <v>517</v>
      </c>
      <c r="AU5" s="434"/>
      <c r="AV5" s="434" t="str">
        <f t="shared" si="0"/>
        <v>Наименование признака дифференциации</v>
      </c>
      <c r="AW5" s="434"/>
      <c r="AX5" s="434"/>
      <c r="AY5" s="1072">
        <v>0</v>
      </c>
    </row>
    <row r="6" spans="1:51" ht="23.25" hidden="1" customHeight="1">
      <c r="A6" s="1280"/>
      <c r="B6" s="1280"/>
      <c r="C6" s="1280"/>
      <c r="D6" s="1280"/>
      <c r="E6" s="3200"/>
      <c r="F6" s="3200"/>
      <c r="G6" s="3200"/>
      <c r="H6" s="3200"/>
      <c r="I6" s="3220"/>
      <c r="J6" s="3197" t="e">
        <f>I5&amp;".1"</f>
        <v>#N/A</v>
      </c>
      <c r="K6" s="1280"/>
      <c r="L6" s="1281" t="s">
        <v>441</v>
      </c>
      <c r="P6" s="3198"/>
      <c r="Q6" s="3198">
        <v>1</v>
      </c>
      <c r="R6" s="291"/>
      <c r="S6" s="1410" t="e">
        <f>$J6</f>
        <v>#N/A</v>
      </c>
      <c r="T6" s="221" t="s">
        <v>442</v>
      </c>
      <c r="U6" s="235"/>
      <c r="V6" s="3188"/>
      <c r="W6" s="3189"/>
      <c r="X6" s="3189"/>
      <c r="Y6" s="3189"/>
      <c r="Z6" s="3189"/>
      <c r="AA6" s="3189"/>
      <c r="AB6" s="3189"/>
      <c r="AC6" s="3189"/>
      <c r="AD6" s="3189"/>
      <c r="AE6" s="3189"/>
      <c r="AF6" s="3190"/>
      <c r="AG6" s="3188"/>
      <c r="AH6" s="3189"/>
      <c r="AI6" s="3189"/>
      <c r="AJ6" s="3189"/>
      <c r="AK6" s="3189"/>
      <c r="AL6" s="3189"/>
      <c r="AM6" s="3189"/>
      <c r="AN6" s="3189"/>
      <c r="AO6" s="3189"/>
      <c r="AP6" s="3189"/>
      <c r="AQ6" s="3189"/>
      <c r="AR6" s="3190"/>
      <c r="AS6" s="1224" t="s">
        <v>518</v>
      </c>
      <c r="AU6" s="434"/>
      <c r="AV6" s="434" t="str">
        <f t="shared" si="0"/>
        <v>Группа потребителей</v>
      </c>
      <c r="AW6" s="434"/>
      <c r="AX6" s="434"/>
      <c r="AY6" s="1072">
        <v>0</v>
      </c>
    </row>
    <row r="7" spans="1:51" ht="23.25" hidden="1" customHeight="1">
      <c r="A7" s="1280"/>
      <c r="B7" s="1280"/>
      <c r="C7" s="1280"/>
      <c r="D7" s="1280"/>
      <c r="E7" s="3200"/>
      <c r="F7" s="3200"/>
      <c r="G7" s="3200"/>
      <c r="H7" s="3200"/>
      <c r="I7" s="3220"/>
      <c r="J7" s="3220"/>
      <c r="K7" s="3197" t="e">
        <f>J6&amp;".1"</f>
        <v>#N/A</v>
      </c>
      <c r="L7" s="1281"/>
      <c r="P7" s="3198"/>
      <c r="Q7" s="3198"/>
      <c r="R7" s="291">
        <v>1</v>
      </c>
      <c r="S7" s="1410" t="e">
        <f>$K7</f>
        <v>#N/A</v>
      </c>
      <c r="T7" s="1354"/>
      <c r="U7" s="235"/>
      <c r="V7" s="685"/>
      <c r="W7" s="685"/>
      <c r="X7" s="685"/>
      <c r="Y7" s="685"/>
      <c r="Z7" s="685"/>
      <c r="AA7" s="685"/>
      <c r="AB7" s="1174"/>
      <c r="AC7" s="3202"/>
      <c r="AD7" s="3048" t="s">
        <v>67</v>
      </c>
      <c r="AE7" s="3202"/>
      <c r="AF7" s="3048" t="s">
        <v>67</v>
      </c>
      <c r="AG7" s="685"/>
      <c r="AH7" s="685"/>
      <c r="AI7" s="685"/>
      <c r="AJ7" s="685"/>
      <c r="AK7" s="685"/>
      <c r="AL7" s="685"/>
      <c r="AM7" s="1174"/>
      <c r="AN7" s="3202"/>
      <c r="AO7" s="3048" t="s">
        <v>67</v>
      </c>
      <c r="AP7" s="3221"/>
      <c r="AQ7" s="3048" t="s">
        <v>67</v>
      </c>
      <c r="AR7" s="1355"/>
      <c r="AS7" s="3265"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5" t="e">
        <f ca="1">STRCHECKDATE(V8:AR8)</f>
        <v>#NAME?</v>
      </c>
      <c r="AU7" s="434"/>
      <c r="AV7" s="434" t="str">
        <f t="shared" si="0"/>
        <v/>
      </c>
      <c r="AW7" s="434"/>
      <c r="AX7" s="434"/>
      <c r="AY7" s="1072">
        <v>0</v>
      </c>
    </row>
    <row r="8" spans="1:51" ht="14.25" hidden="1" customHeight="1">
      <c r="A8" s="1280"/>
      <c r="B8" s="1280"/>
      <c r="C8" s="1280"/>
      <c r="D8" s="1280"/>
      <c r="E8" s="3200"/>
      <c r="F8" s="3200"/>
      <c r="G8" s="3200"/>
      <c r="H8" s="3200"/>
      <c r="I8" s="3220"/>
      <c r="J8" s="3220"/>
      <c r="K8" s="3197"/>
      <c r="L8" s="1281"/>
      <c r="P8" s="3198"/>
      <c r="Q8" s="3198"/>
      <c r="R8" s="291"/>
      <c r="S8" s="1407"/>
      <c r="T8" s="235"/>
      <c r="U8" s="235"/>
      <c r="V8" s="260"/>
      <c r="W8" s="260"/>
      <c r="X8" s="260"/>
      <c r="Y8" s="260"/>
      <c r="Z8" s="260"/>
      <c r="AA8" s="260"/>
      <c r="AB8" s="263" t="str">
        <f>AC7&amp;"-"&amp;AE7</f>
        <v>-</v>
      </c>
      <c r="AC8" s="3203"/>
      <c r="AD8" s="3048"/>
      <c r="AE8" s="3203"/>
      <c r="AF8" s="3048"/>
      <c r="AG8" s="260"/>
      <c r="AH8" s="260"/>
      <c r="AI8" s="260"/>
      <c r="AJ8" s="260"/>
      <c r="AK8" s="260"/>
      <c r="AL8" s="260"/>
      <c r="AM8" s="263" t="str">
        <f>AN7&amp;"-"&amp;AP7</f>
        <v>-</v>
      </c>
      <c r="AN8" s="3203"/>
      <c r="AO8" s="3048"/>
      <c r="AP8" s="3222"/>
      <c r="AQ8" s="3048"/>
      <c r="AR8" s="1356"/>
      <c r="AS8" s="3265"/>
      <c r="AU8" s="434"/>
      <c r="AV8" s="434" t="str">
        <f t="shared" si="0"/>
        <v/>
      </c>
      <c r="AW8" s="434"/>
      <c r="AX8" s="434"/>
      <c r="AY8" s="1072">
        <v>0</v>
      </c>
    </row>
    <row r="9" spans="1:51" ht="21" hidden="1" customHeight="1">
      <c r="A9" s="1280"/>
      <c r="B9" s="1280"/>
      <c r="C9" s="1280"/>
      <c r="D9" s="1280"/>
      <c r="E9" s="3200"/>
      <c r="F9" s="3200"/>
      <c r="G9" s="3200"/>
      <c r="H9" s="3200"/>
      <c r="I9" s="3220"/>
      <c r="J9" s="3197"/>
      <c r="K9" s="1280"/>
      <c r="L9" s="1281"/>
      <c r="P9" s="3198"/>
      <c r="Q9" s="3198"/>
      <c r="R9" s="290"/>
      <c r="S9" s="1195"/>
      <c r="T9" s="222" t="s">
        <v>519</v>
      </c>
      <c r="U9" s="301"/>
      <c r="V9" s="301"/>
      <c r="W9" s="534"/>
      <c r="X9" s="534"/>
      <c r="Y9" s="534"/>
      <c r="Z9" s="534"/>
      <c r="AA9" s="534"/>
      <c r="AB9" s="301"/>
      <c r="AC9" s="301"/>
      <c r="AD9" s="301"/>
      <c r="AE9" s="301"/>
      <c r="AF9" s="301"/>
      <c r="AG9" s="301"/>
      <c r="AH9" s="534"/>
      <c r="AI9" s="534"/>
      <c r="AJ9" s="534"/>
      <c r="AK9" s="534"/>
      <c r="AL9" s="534"/>
      <c r="AM9" s="301"/>
      <c r="AN9" s="301"/>
      <c r="AO9" s="301"/>
      <c r="AP9" s="301"/>
      <c r="AQ9" s="301"/>
      <c r="AR9" s="301"/>
      <c r="AS9" s="1175" t="s">
        <v>520</v>
      </c>
      <c r="AU9" s="434"/>
      <c r="AV9" s="434" t="str">
        <f t="shared" si="0"/>
        <v>Добавить значение признака дифференциации</v>
      </c>
      <c r="AW9" s="434"/>
      <c r="AX9" s="434"/>
      <c r="AY9" s="1072">
        <v>0</v>
      </c>
    </row>
    <row r="10" spans="1:51" ht="21" hidden="1" customHeight="1">
      <c r="A10" s="1280"/>
      <c r="B10" s="1280"/>
      <c r="C10" s="1280"/>
      <c r="D10" s="1280"/>
      <c r="E10" s="3200"/>
      <c r="F10" s="3200"/>
      <c r="G10" s="3200"/>
      <c r="H10" s="3200"/>
      <c r="I10" s="3197"/>
      <c r="J10" s="1280"/>
      <c r="K10" s="1280"/>
      <c r="L10" s="1281"/>
      <c r="P10" s="3198"/>
      <c r="Q10" s="1398"/>
      <c r="R10" s="290"/>
      <c r="S10" s="1195"/>
      <c r="T10" s="299" t="s">
        <v>447</v>
      </c>
      <c r="U10" s="301"/>
      <c r="V10" s="301"/>
      <c r="W10" s="534"/>
      <c r="X10" s="534"/>
      <c r="Y10" s="534"/>
      <c r="Z10" s="534"/>
      <c r="AA10" s="534"/>
      <c r="AB10" s="301"/>
      <c r="AC10" s="301"/>
      <c r="AD10" s="301"/>
      <c r="AE10" s="301"/>
      <c r="AF10" s="300"/>
      <c r="AG10" s="301"/>
      <c r="AH10" s="534"/>
      <c r="AI10" s="534"/>
      <c r="AJ10" s="534"/>
      <c r="AK10" s="534"/>
      <c r="AL10" s="534"/>
      <c r="AM10" s="301"/>
      <c r="AN10" s="301"/>
      <c r="AO10" s="301"/>
      <c r="AP10" s="301"/>
      <c r="AQ10" s="300"/>
      <c r="AR10" s="301"/>
      <c r="AS10" s="1357"/>
      <c r="AU10" s="434"/>
      <c r="AV10" s="434" t="str">
        <f t="shared" si="0"/>
        <v>Добавить группу потребителей</v>
      </c>
      <c r="AW10" s="434"/>
      <c r="AX10" s="434"/>
      <c r="AY10" s="1072">
        <v>0</v>
      </c>
    </row>
    <row r="11" spans="1:51" ht="21" hidden="1" customHeight="1">
      <c r="A11" s="1280"/>
      <c r="B11" s="1280"/>
      <c r="C11" s="1280"/>
      <c r="D11" s="1280"/>
      <c r="E11" s="3200"/>
      <c r="F11" s="3200"/>
      <c r="G11" s="3200"/>
      <c r="H11" s="3199"/>
      <c r="I11" s="1280"/>
      <c r="J11" s="1280"/>
      <c r="K11" s="1280"/>
      <c r="L11" s="1281"/>
      <c r="M11" s="1282"/>
      <c r="N11" s="1282"/>
      <c r="O11" s="471"/>
      <c r="P11" s="294"/>
      <c r="Q11" s="309"/>
      <c r="R11" s="289"/>
      <c r="S11" s="1195"/>
      <c r="T11" s="306" t="s">
        <v>521</v>
      </c>
      <c r="U11" s="301"/>
      <c r="V11" s="301"/>
      <c r="W11" s="534"/>
      <c r="X11" s="534"/>
      <c r="Y11" s="534"/>
      <c r="Z11" s="534"/>
      <c r="AA11" s="534"/>
      <c r="AB11" s="301"/>
      <c r="AC11" s="301"/>
      <c r="AD11" s="301"/>
      <c r="AE11" s="301"/>
      <c r="AF11" s="300"/>
      <c r="AG11" s="301"/>
      <c r="AH11" s="534"/>
      <c r="AI11" s="534"/>
      <c r="AJ11" s="534"/>
      <c r="AK11" s="534"/>
      <c r="AL11" s="534"/>
      <c r="AM11" s="301"/>
      <c r="AN11" s="301"/>
      <c r="AO11" s="301"/>
      <c r="AP11" s="301"/>
      <c r="AQ11" s="300"/>
      <c r="AR11" s="301"/>
      <c r="AS11" s="238"/>
      <c r="AU11" s="434"/>
      <c r="AV11" s="434" t="str">
        <f t="shared" si="0"/>
        <v>Добавить наименование признака дифференциации</v>
      </c>
      <c r="AW11" s="434"/>
      <c r="AX11" s="434"/>
      <c r="AY11" s="1072">
        <v>0</v>
      </c>
    </row>
    <row r="12" spans="1:51" s="2017" customFormat="1" ht="14.25" hidden="1" customHeight="1">
      <c r="A12" s="1260"/>
      <c r="B12" s="1260"/>
      <c r="C12" s="1231"/>
      <c r="D12" s="1231"/>
      <c r="E12" s="3200"/>
      <c r="F12" s="3199"/>
      <c r="G12" s="1231"/>
      <c r="H12" s="1231"/>
      <c r="I12" s="1231"/>
      <c r="J12" s="1231"/>
      <c r="K12" s="1231"/>
      <c r="L12" s="1411"/>
      <c r="M12" s="1238"/>
      <c r="N12" s="1238"/>
      <c r="P12" s="1233"/>
      <c r="Q12" s="1234"/>
      <c r="R12" s="1233"/>
      <c r="S12" s="1239"/>
      <c r="T12" s="1242" t="s">
        <v>181</v>
      </c>
      <c r="U12" s="1241"/>
      <c r="V12" s="1241"/>
      <c r="W12" s="1241"/>
      <c r="X12" s="1241"/>
      <c r="Y12" s="1241"/>
      <c r="Z12" s="1241"/>
      <c r="AA12" s="1241"/>
      <c r="AB12" s="1241"/>
      <c r="AC12" s="1241"/>
      <c r="AD12" s="1241"/>
      <c r="AE12" s="1241"/>
      <c r="AF12" s="1241"/>
      <c r="AG12" s="1241"/>
      <c r="AH12" s="1241"/>
      <c r="AI12" s="1241"/>
      <c r="AJ12" s="1241"/>
      <c r="AK12" s="1241"/>
      <c r="AL12" s="1241"/>
      <c r="AM12" s="1241"/>
      <c r="AN12" s="1241"/>
      <c r="AO12" s="1241"/>
      <c r="AP12" s="1241"/>
      <c r="AQ12" s="1241"/>
      <c r="AR12" s="1241"/>
      <c r="AS12" s="1241"/>
      <c r="AU12" s="717"/>
      <c r="AV12" s="717" t="str">
        <f t="shared" si="0"/>
        <v>Добавить централизованную систему для дифференциации</v>
      </c>
      <c r="AW12" s="717"/>
      <c r="AX12" s="717"/>
      <c r="AY12" s="452">
        <v>0</v>
      </c>
    </row>
    <row r="13" spans="1:51" s="2017" customFormat="1" ht="14.25" hidden="1" customHeight="1">
      <c r="A13" s="1260"/>
      <c r="B13" s="1260"/>
      <c r="C13" s="1260"/>
      <c r="D13" s="1260"/>
      <c r="E13" s="3199"/>
      <c r="F13" s="1260"/>
      <c r="G13" s="1260"/>
      <c r="H13" s="1260"/>
      <c r="I13" s="1260"/>
      <c r="J13" s="1260"/>
      <c r="K13" s="1260"/>
      <c r="L13" s="1263"/>
      <c r="M13" s="1238"/>
      <c r="N13" s="1238"/>
      <c r="O13" s="452"/>
      <c r="P13" s="314"/>
      <c r="Q13" s="1261"/>
      <c r="R13" s="314"/>
      <c r="S13" s="1239"/>
      <c r="T13" s="1242" t="s">
        <v>188</v>
      </c>
      <c r="U13" s="1241"/>
      <c r="V13" s="1241"/>
      <c r="W13" s="1241"/>
      <c r="X13" s="1241"/>
      <c r="Y13" s="1241"/>
      <c r="Z13" s="1241"/>
      <c r="AA13" s="1241"/>
      <c r="AB13" s="1241"/>
      <c r="AC13" s="1241"/>
      <c r="AD13" s="1241"/>
      <c r="AE13" s="1241"/>
      <c r="AF13" s="1241"/>
      <c r="AG13" s="1241"/>
      <c r="AH13" s="1241"/>
      <c r="AI13" s="1241"/>
      <c r="AJ13" s="1241"/>
      <c r="AK13" s="1241"/>
      <c r="AL13" s="1241"/>
      <c r="AM13" s="1241"/>
      <c r="AN13" s="1241"/>
      <c r="AO13" s="1241"/>
      <c r="AP13" s="1241"/>
      <c r="AQ13" s="1241"/>
      <c r="AR13" s="1241"/>
      <c r="AS13" s="1241"/>
      <c r="AU13" s="434"/>
      <c r="AV13" s="434" t="str">
        <f t="shared" si="0"/>
        <v>Добавить территорию для дифференциации</v>
      </c>
      <c r="AW13" s="434"/>
      <c r="AX13" s="434"/>
      <c r="AY13" s="445">
        <v>0</v>
      </c>
    </row>
    <row r="14" spans="1:51" ht="14.25" hidden="1" customHeight="1">
      <c r="AF14" s="262"/>
      <c r="AQ14" s="262"/>
      <c r="AY14" s="1072">
        <v>0</v>
      </c>
    </row>
    <row r="15" spans="1:51" ht="14.25" hidden="1" customHeight="1">
      <c r="AG15" s="1277"/>
      <c r="AH15" s="1277"/>
      <c r="AI15" s="1277"/>
      <c r="AJ15" s="1277"/>
      <c r="AK15" s="1277"/>
      <c r="AL15" s="1277"/>
      <c r="AM15" s="1278"/>
      <c r="AN15" s="3204"/>
      <c r="AO15" s="3205" t="s">
        <v>67</v>
      </c>
      <c r="AP15" s="3204"/>
      <c r="AQ15" s="3205" t="s">
        <v>67</v>
      </c>
      <c r="AY15" s="1072">
        <v>0</v>
      </c>
    </row>
    <row r="16" spans="1:51" ht="14.25" hidden="1" customHeight="1">
      <c r="AG16" s="1277"/>
      <c r="AH16" s="1277"/>
      <c r="AI16" s="1277"/>
      <c r="AJ16" s="1277"/>
      <c r="AK16" s="1277"/>
      <c r="AL16" s="1277"/>
      <c r="AM16" s="263" t="str">
        <f>AN15&amp;"-"&amp;AP15</f>
        <v>-</v>
      </c>
      <c r="AN16" s="3205"/>
      <c r="AO16" s="3205"/>
      <c r="AP16" s="3205"/>
      <c r="AQ16" s="3205"/>
      <c r="AY16" s="1072">
        <v>0</v>
      </c>
    </row>
    <row r="17" spans="1:51" ht="14.25" hidden="1" customHeight="1">
      <c r="AQ17" s="262"/>
      <c r="AY17" s="1072">
        <v>0</v>
      </c>
    </row>
    <row r="18" spans="1:51" s="2016" customFormat="1" ht="22.5" hidden="1" customHeight="1">
      <c r="L18" s="1395"/>
      <c r="M18" s="1279"/>
      <c r="N18" s="1279"/>
      <c r="O18" s="1284" t="s">
        <v>449</v>
      </c>
      <c r="P18" s="1279"/>
      <c r="Q18" s="1288"/>
      <c r="R18" s="1288"/>
      <c r="S18" s="663"/>
      <c r="W18" s="1283"/>
      <c r="X18" s="1283"/>
      <c r="Y18" s="1283"/>
      <c r="Z18" s="1283"/>
      <c r="AA18" s="1283"/>
      <c r="AC18" s="1284"/>
      <c r="AE18" s="1284"/>
      <c r="AF18" s="1283"/>
      <c r="AH18" s="1283"/>
      <c r="AI18" s="1283"/>
      <c r="AJ18" s="1283"/>
      <c r="AK18" s="1283"/>
      <c r="AL18" s="1283"/>
      <c r="AN18" s="1284"/>
      <c r="AP18" s="1284"/>
      <c r="AQ18" s="1283"/>
      <c r="AT18" s="445"/>
      <c r="AU18" s="445"/>
      <c r="AV18" s="445"/>
      <c r="AW18" s="445"/>
      <c r="AX18" s="445"/>
      <c r="AY18" s="1077">
        <v>0</v>
      </c>
    </row>
    <row r="19" spans="1:51" s="2016" customFormat="1" ht="14.25" hidden="1" customHeight="1">
      <c r="L19" s="1395"/>
      <c r="M19" s="1279"/>
      <c r="N19" s="1279"/>
      <c r="O19" s="1279"/>
      <c r="P19" s="1279"/>
      <c r="Q19" s="1288"/>
      <c r="R19" s="1288"/>
      <c r="S19" s="663"/>
      <c r="W19" s="1283"/>
      <c r="X19" s="1283"/>
      <c r="Y19" s="1283"/>
      <c r="Z19" s="1283"/>
      <c r="AA19" s="1283"/>
      <c r="AF19" s="1283"/>
      <c r="AH19" s="1283"/>
      <c r="AI19" s="1283"/>
      <c r="AJ19" s="1283"/>
      <c r="AK19" s="1283"/>
      <c r="AL19" s="1283"/>
      <c r="AQ19" s="1283"/>
      <c r="AT19" s="445"/>
      <c r="AU19" s="445"/>
      <c r="AV19" s="445"/>
      <c r="AW19" s="445"/>
      <c r="AX19" s="445"/>
      <c r="AY19" s="1077">
        <v>0</v>
      </c>
    </row>
    <row r="20" spans="1:51" s="2016" customFormat="1" ht="12" hidden="1" customHeight="1">
      <c r="L20" s="1395"/>
      <c r="M20" s="1279"/>
      <c r="N20" s="1279"/>
      <c r="O20" s="1281" t="s">
        <v>450</v>
      </c>
      <c r="P20" s="1279"/>
      <c r="Q20" s="1359"/>
      <c r="R20" s="1359"/>
      <c r="S20" s="663"/>
      <c r="T20" s="1077" t="s">
        <v>451</v>
      </c>
      <c r="W20" s="1283"/>
      <c r="X20" s="1283"/>
      <c r="Y20" s="1283"/>
      <c r="Z20" s="1283"/>
      <c r="AA20" s="1283"/>
      <c r="AD20" s="121" t="s">
        <v>452</v>
      </c>
      <c r="AF20" s="121" t="s">
        <v>453</v>
      </c>
      <c r="AG20" s="1077" t="s">
        <v>451</v>
      </c>
      <c r="AH20" s="1283"/>
      <c r="AI20" s="1283"/>
      <c r="AJ20" s="1283"/>
      <c r="AK20" s="1283"/>
      <c r="AL20" s="1283"/>
      <c r="AO20" s="121" t="s">
        <v>454</v>
      </c>
      <c r="AQ20" s="121" t="s">
        <v>453</v>
      </c>
      <c r="AY20" s="1077">
        <v>0</v>
      </c>
    </row>
    <row r="21" spans="1:51" ht="14.25" hidden="1" customHeight="1">
      <c r="O21" s="1281"/>
      <c r="AY21" s="1072">
        <v>0</v>
      </c>
    </row>
    <row r="22" spans="1:51" ht="14.25" hidden="1" customHeight="1">
      <c r="O22" s="1281"/>
      <c r="AY22" s="1072">
        <v>0</v>
      </c>
    </row>
    <row r="23" spans="1:51" ht="14.65" customHeight="1">
      <c r="Q23" s="310"/>
      <c r="R23" s="310"/>
      <c r="S23" s="1192"/>
      <c r="T23" s="297"/>
      <c r="U23" s="297"/>
      <c r="V23" s="443"/>
      <c r="W23" s="1552"/>
      <c r="X23" s="1552"/>
      <c r="Y23" s="1552"/>
      <c r="Z23" s="1552"/>
      <c r="AA23" s="1552"/>
      <c r="AB23" s="443"/>
      <c r="AC23" s="443"/>
      <c r="AD23" s="443"/>
      <c r="AE23" s="443"/>
      <c r="AF23" s="443"/>
      <c r="AG23" s="443"/>
      <c r="AH23" s="1552"/>
      <c r="AI23" s="1552"/>
      <c r="AJ23" s="1552"/>
      <c r="AK23" s="1552"/>
      <c r="AL23" s="1552"/>
      <c r="AM23" s="443"/>
      <c r="AN23" s="443"/>
      <c r="AO23" s="443"/>
      <c r="AP23" s="443"/>
      <c r="AQ23" s="443"/>
      <c r="AY23" s="1072">
        <v>14</v>
      </c>
    </row>
    <row r="24" spans="1:51" ht="26.25" customHeight="1">
      <c r="Q24" s="310"/>
      <c r="R24" s="310"/>
      <c r="S24" s="3183"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3183"/>
      <c r="U24" s="3183"/>
      <c r="V24" s="3183"/>
      <c r="W24" s="3183"/>
      <c r="X24" s="3183"/>
      <c r="Y24" s="3183"/>
      <c r="Z24" s="3183"/>
      <c r="AA24" s="3183"/>
      <c r="AB24" s="3183"/>
      <c r="AC24" s="3183"/>
      <c r="AD24" s="3183"/>
      <c r="AE24" s="3183"/>
      <c r="AF24" s="3183"/>
      <c r="AG24" s="3183"/>
      <c r="AH24" s="3183"/>
      <c r="AI24" s="3183"/>
      <c r="AJ24" s="3183"/>
      <c r="AK24" s="3183"/>
      <c r="AL24" s="3183"/>
      <c r="AM24" s="3183"/>
      <c r="AN24" s="3183"/>
      <c r="AO24" s="3183"/>
      <c r="AP24" s="3183"/>
      <c r="AQ24" s="1160"/>
      <c r="AY24" s="1072">
        <v>25</v>
      </c>
    </row>
    <row r="25" spans="1:51" ht="14.65" customHeight="1">
      <c r="Q25" s="310"/>
      <c r="R25" s="310"/>
      <c r="S25" s="3131" t="str">
        <f>IF(org=0,"Не определено",org)</f>
        <v>ООО "РСО"</v>
      </c>
      <c r="T25" s="3131"/>
      <c r="U25" s="3131"/>
      <c r="V25" s="3131"/>
      <c r="W25" s="3131"/>
      <c r="X25" s="3131"/>
      <c r="Y25" s="3131"/>
      <c r="Z25" s="3131"/>
      <c r="AA25" s="3131"/>
      <c r="AB25" s="3131"/>
      <c r="AC25" s="3131"/>
      <c r="AD25" s="3131"/>
      <c r="AE25" s="3131"/>
      <c r="AF25" s="3131"/>
      <c r="AG25" s="3131"/>
      <c r="AH25" s="3131"/>
      <c r="AI25" s="3131"/>
      <c r="AJ25" s="3131"/>
      <c r="AK25" s="3131"/>
      <c r="AL25" s="3131"/>
      <c r="AM25" s="3131"/>
      <c r="AN25" s="3131"/>
      <c r="AO25" s="3131"/>
      <c r="AP25" s="3131"/>
      <c r="AQ25" s="1160"/>
      <c r="AY25" s="1072">
        <v>14</v>
      </c>
    </row>
    <row r="26" spans="1:51" ht="14.25" hidden="1" customHeight="1">
      <c r="Q26" s="310"/>
      <c r="R26" s="310"/>
      <c r="S26" s="1192"/>
      <c r="T26" s="297"/>
      <c r="U26" s="297"/>
      <c r="V26" s="257"/>
      <c r="W26" s="257"/>
      <c r="X26" s="257"/>
      <c r="Y26" s="257"/>
      <c r="Z26" s="257"/>
      <c r="AA26" s="257"/>
      <c r="AB26" s="257"/>
      <c r="AC26" s="257"/>
      <c r="AD26" s="257"/>
      <c r="AE26" s="257"/>
      <c r="AF26" s="257"/>
      <c r="AG26" s="257"/>
      <c r="AH26" s="257"/>
      <c r="AI26" s="257"/>
      <c r="AJ26" s="257"/>
      <c r="AK26" s="257"/>
      <c r="AL26" s="257"/>
      <c r="AM26" s="257"/>
      <c r="AN26" s="257"/>
      <c r="AO26" s="257"/>
      <c r="AP26" s="257"/>
      <c r="AQ26" s="257"/>
      <c r="AR26" s="443"/>
      <c r="AY26" s="1072">
        <v>0</v>
      </c>
    </row>
    <row r="27" spans="1:51" s="2028" customFormat="1" ht="25.5" hidden="1" customHeight="1">
      <c r="A27" s="1285"/>
      <c r="B27" s="1285"/>
      <c r="C27" s="1285"/>
      <c r="D27" s="1285"/>
      <c r="E27" s="1285"/>
      <c r="F27" s="1285"/>
      <c r="G27" s="1285"/>
      <c r="H27" s="1285"/>
      <c r="I27" s="1285"/>
      <c r="J27" s="1285"/>
      <c r="K27" s="1285"/>
      <c r="L27" s="1286"/>
      <c r="M27" s="1285"/>
      <c r="N27" s="1285"/>
      <c r="O27" s="1285"/>
      <c r="S27" s="3191" t="s">
        <v>42</v>
      </c>
      <c r="T27" s="3191"/>
      <c r="U27" s="1289"/>
      <c r="V27" s="3192" t="str">
        <f>IF(TITLE_NAME_OR_PR_CHANGE="",IF(TITLE_NAME_OR_PR="","",TITLE_NAME_OR_PR),TITLE_NAME_OR_PR_CHANGE)</f>
        <v/>
      </c>
      <c r="W27" s="3192"/>
      <c r="X27" s="3192"/>
      <c r="Y27" s="3192"/>
      <c r="Z27" s="3192"/>
      <c r="AA27" s="3192"/>
      <c r="AB27" s="3192"/>
      <c r="AC27" s="3192"/>
      <c r="AD27" s="3192"/>
      <c r="AE27" s="3192"/>
      <c r="AF27" s="261"/>
      <c r="AG27" s="3192" t="str">
        <f>IF(TITLE_NAME_OR_PR_CHANGE="",IF(TITLE_NAME_OR_PR="","",TITLE_NAME_OR_PR),TITLE_NAME_OR_PR_CHANGE)</f>
        <v/>
      </c>
      <c r="AH27" s="3192"/>
      <c r="AI27" s="3192"/>
      <c r="AJ27" s="3192"/>
      <c r="AK27" s="3192"/>
      <c r="AL27" s="3192"/>
      <c r="AM27" s="3192"/>
      <c r="AN27" s="3192"/>
      <c r="AO27" s="3192"/>
      <c r="AP27" s="3192"/>
      <c r="AQ27" s="261"/>
      <c r="AR27" s="261"/>
      <c r="AS27" s="215"/>
      <c r="AT27" s="302"/>
      <c r="AU27" s="302"/>
      <c r="AV27" s="302"/>
      <c r="AW27" s="302"/>
      <c r="AX27" s="302"/>
      <c r="AY27" s="352">
        <v>0</v>
      </c>
    </row>
    <row r="28" spans="1:51" s="2028" customFormat="1" ht="18.75" hidden="1" customHeight="1">
      <c r="A28" s="1285"/>
      <c r="B28" s="1285"/>
      <c r="C28" s="1285"/>
      <c r="D28" s="1285"/>
      <c r="E28" s="1285"/>
      <c r="F28" s="1285"/>
      <c r="G28" s="1285"/>
      <c r="H28" s="1285"/>
      <c r="I28" s="1285"/>
      <c r="J28" s="1285"/>
      <c r="K28" s="1285"/>
      <c r="L28" s="1286"/>
      <c r="M28" s="1285"/>
      <c r="N28" s="1285"/>
      <c r="O28" s="1285"/>
      <c r="S28" s="3191" t="s">
        <v>455</v>
      </c>
      <c r="T28" s="3191"/>
      <c r="U28" s="1289"/>
      <c r="V28" s="3201">
        <f>IF(TITLE_DATE_PR_CHANGE="",IF(TITLE_DATE_PR="","",TITLE_DATE_PR),TITLE_DATE_PR_CHANGE)</f>
        <v>45408</v>
      </c>
      <c r="W28" s="3201"/>
      <c r="X28" s="3201"/>
      <c r="Y28" s="3201"/>
      <c r="Z28" s="3201"/>
      <c r="AA28" s="3201"/>
      <c r="AB28" s="3201"/>
      <c r="AC28" s="3201"/>
      <c r="AD28" s="3201"/>
      <c r="AE28" s="3201"/>
      <c r="AF28" s="261"/>
      <c r="AG28" s="3201">
        <f>IF(TITLE_DATE_PR_CHANGE="",IF(TITLE_DATE_PR="","",TITLE_DATE_PR),TITLE_DATE_PR_CHANGE)</f>
        <v>45408</v>
      </c>
      <c r="AH28" s="3201"/>
      <c r="AI28" s="3201"/>
      <c r="AJ28" s="3201"/>
      <c r="AK28" s="3201"/>
      <c r="AL28" s="3201"/>
      <c r="AM28" s="3201"/>
      <c r="AN28" s="3201"/>
      <c r="AO28" s="3201"/>
      <c r="AP28" s="3201"/>
      <c r="AQ28" s="261"/>
      <c r="AR28" s="261"/>
      <c r="AS28" s="215"/>
      <c r="AT28" s="302"/>
      <c r="AU28" s="302"/>
      <c r="AV28" s="302"/>
      <c r="AW28" s="302"/>
      <c r="AX28" s="302"/>
      <c r="AY28" s="352">
        <v>0</v>
      </c>
    </row>
    <row r="29" spans="1:51" s="2028" customFormat="1" ht="18.75" hidden="1" customHeight="1">
      <c r="A29" s="1285"/>
      <c r="B29" s="1285"/>
      <c r="C29" s="1285"/>
      <c r="D29" s="1285"/>
      <c r="E29" s="1285"/>
      <c r="F29" s="1285"/>
      <c r="G29" s="1285"/>
      <c r="H29" s="1285"/>
      <c r="I29" s="1285"/>
      <c r="J29" s="1285"/>
      <c r="K29" s="1285"/>
      <c r="L29" s="1286"/>
      <c r="M29" s="1285"/>
      <c r="N29" s="1285"/>
      <c r="O29" s="1285"/>
      <c r="S29" s="3191" t="s">
        <v>456</v>
      </c>
      <c r="T29" s="3191"/>
      <c r="U29" s="1289"/>
      <c r="V29" s="3192" t="str">
        <f>IF(TITLE_NUMBER_PR_CHANGE="",IF(TITLE_NUMBER_PR="","",TITLE_NUMBER_PR),TITLE_NUMBER_PR_CHANGE)</f>
        <v>04-24/132, 04-24/131</v>
      </c>
      <c r="W29" s="3192"/>
      <c r="X29" s="3192"/>
      <c r="Y29" s="3192"/>
      <c r="Z29" s="3192"/>
      <c r="AA29" s="3192"/>
      <c r="AB29" s="3192"/>
      <c r="AC29" s="3192"/>
      <c r="AD29" s="3192"/>
      <c r="AE29" s="3192"/>
      <c r="AF29" s="261"/>
      <c r="AG29" s="3192" t="str">
        <f>IF(TITLE_NUMBER_PR_CHANGE="",IF(TITLE_NUMBER_PR="","",TITLE_NUMBER_PR),TITLE_NUMBER_PR_CHANGE)</f>
        <v>04-24/132, 04-24/131</v>
      </c>
      <c r="AH29" s="3192"/>
      <c r="AI29" s="3192"/>
      <c r="AJ29" s="3192"/>
      <c r="AK29" s="3192"/>
      <c r="AL29" s="3192"/>
      <c r="AM29" s="3192"/>
      <c r="AN29" s="3192"/>
      <c r="AO29" s="3192"/>
      <c r="AP29" s="3192"/>
      <c r="AQ29" s="261"/>
      <c r="AR29" s="261"/>
      <c r="AS29" s="215"/>
      <c r="AT29" s="302"/>
      <c r="AU29" s="302"/>
      <c r="AV29" s="302"/>
      <c r="AW29" s="302"/>
      <c r="AX29" s="302"/>
      <c r="AY29" s="352">
        <v>0</v>
      </c>
    </row>
    <row r="30" spans="1:51" s="2028" customFormat="1" ht="18.75" hidden="1" customHeight="1">
      <c r="A30" s="1285"/>
      <c r="B30" s="1285"/>
      <c r="C30" s="1285"/>
      <c r="D30" s="1285"/>
      <c r="E30" s="1285"/>
      <c r="F30" s="1285"/>
      <c r="G30" s="1285"/>
      <c r="H30" s="1285"/>
      <c r="I30" s="1285"/>
      <c r="J30" s="1285"/>
      <c r="K30" s="1285"/>
      <c r="L30" s="1286"/>
      <c r="M30" s="1285"/>
      <c r="N30" s="1285"/>
      <c r="O30" s="1285"/>
      <c r="S30" s="3191" t="s">
        <v>43</v>
      </c>
      <c r="T30" s="3191"/>
      <c r="U30" s="1289"/>
      <c r="V30" s="3192" t="str">
        <f>IF(TITLE_IST_PUB_CHANGE="",IF(TITLE_IST_PUB="","",TITLE_IST_PUB),TITLE_IST_PUB_CHANGE)</f>
        <v/>
      </c>
      <c r="W30" s="3192"/>
      <c r="X30" s="3192"/>
      <c r="Y30" s="3192"/>
      <c r="Z30" s="3192"/>
      <c r="AA30" s="3192"/>
      <c r="AB30" s="3192"/>
      <c r="AC30" s="3192"/>
      <c r="AD30" s="3192"/>
      <c r="AE30" s="3192"/>
      <c r="AF30" s="261"/>
      <c r="AG30" s="3192" t="str">
        <f>IF(TITLE_IST_PUB_CHANGE="",IF(TITLE_IST_PUB="","",TITLE_IST_PUB),TITLE_IST_PUB_CHANGE)</f>
        <v/>
      </c>
      <c r="AH30" s="3192"/>
      <c r="AI30" s="3192"/>
      <c r="AJ30" s="3192"/>
      <c r="AK30" s="3192"/>
      <c r="AL30" s="3192"/>
      <c r="AM30" s="3192"/>
      <c r="AN30" s="3192"/>
      <c r="AO30" s="3192"/>
      <c r="AP30" s="3192"/>
      <c r="AQ30" s="261"/>
      <c r="AR30" s="261"/>
      <c r="AS30" s="215"/>
      <c r="AT30" s="302"/>
      <c r="AU30" s="302"/>
      <c r="AV30" s="302"/>
      <c r="AW30" s="302"/>
      <c r="AX30" s="302"/>
      <c r="AY30" s="352">
        <v>0</v>
      </c>
    </row>
    <row r="31" spans="1:51" ht="14.25" customHeight="1">
      <c r="Q31" s="310"/>
      <c r="R31" s="310"/>
      <c r="S31" s="1192"/>
      <c r="T31" s="297"/>
      <c r="U31" s="297"/>
      <c r="V31" s="257"/>
      <c r="W31" s="257"/>
      <c r="X31" s="257"/>
      <c r="Y31" s="257"/>
      <c r="Z31" s="257"/>
      <c r="AA31" s="257"/>
      <c r="AB31" s="257"/>
      <c r="AC31" s="257"/>
      <c r="AD31" s="257"/>
      <c r="AE31" s="257"/>
      <c r="AF31" s="257"/>
      <c r="AG31" s="257"/>
      <c r="AH31" s="257"/>
      <c r="AI31" s="257"/>
      <c r="AJ31" s="257"/>
      <c r="AK31" s="257"/>
      <c r="AL31" s="257"/>
      <c r="AM31" s="257"/>
      <c r="AN31" s="257"/>
      <c r="AO31" s="257"/>
      <c r="AP31" s="257"/>
      <c r="AQ31" s="257"/>
      <c r="AR31" s="443"/>
      <c r="AY31" s="1072">
        <v>0</v>
      </c>
    </row>
    <row r="32" spans="1:51" s="2028" customFormat="1" ht="18.75" customHeight="1">
      <c r="A32" s="1285"/>
      <c r="B32" s="1285"/>
      <c r="C32" s="1285"/>
      <c r="D32" s="1285"/>
      <c r="E32" s="1285"/>
      <c r="F32" s="1285"/>
      <c r="G32" s="1285"/>
      <c r="H32" s="1285"/>
      <c r="I32" s="1285"/>
      <c r="J32" s="1285"/>
      <c r="K32" s="1285"/>
      <c r="L32" s="1286"/>
      <c r="M32" s="1285"/>
      <c r="N32" s="1285"/>
      <c r="O32" s="1285"/>
      <c r="S32" s="3191" t="s">
        <v>457</v>
      </c>
      <c r="T32" s="3191"/>
      <c r="U32" s="1289"/>
      <c r="V32" s="3201">
        <f>IF(TITLE_DATE_PR_CHANGE="",IF(TITLE_DATE_PR="","",TITLE_DATE_PR),TITLE_DATE_PR_CHANGE)</f>
        <v>45408</v>
      </c>
      <c r="W32" s="3201"/>
      <c r="X32" s="3201"/>
      <c r="Y32" s="3201"/>
      <c r="Z32" s="3201"/>
      <c r="AA32" s="3201"/>
      <c r="AB32" s="3201"/>
      <c r="AC32" s="3201"/>
      <c r="AD32" s="3201"/>
      <c r="AE32" s="3201"/>
      <c r="AF32" s="261"/>
      <c r="AG32" s="3201">
        <f>IF(TITLE_DATE_PR_CHANGE="",IF(TITLE_DATE_PR="","",TITLE_DATE_PR),TITLE_DATE_PR_CHANGE)</f>
        <v>45408</v>
      </c>
      <c r="AH32" s="3201"/>
      <c r="AI32" s="3201"/>
      <c r="AJ32" s="3201"/>
      <c r="AK32" s="3201"/>
      <c r="AL32" s="3201"/>
      <c r="AM32" s="3201"/>
      <c r="AN32" s="3201"/>
      <c r="AO32" s="3201"/>
      <c r="AP32" s="3201"/>
      <c r="AQ32" s="261"/>
      <c r="AR32" s="261"/>
      <c r="AS32" s="215"/>
      <c r="AT32" s="302"/>
      <c r="AU32" s="302"/>
      <c r="AV32" s="302"/>
      <c r="AW32" s="302"/>
      <c r="AX32" s="302"/>
      <c r="AY32" s="352">
        <v>0</v>
      </c>
    </row>
    <row r="33" spans="1:51" s="2028" customFormat="1" ht="18.75" customHeight="1">
      <c r="A33" s="1285"/>
      <c r="B33" s="1285"/>
      <c r="C33" s="1285"/>
      <c r="D33" s="1285"/>
      <c r="E33" s="1285"/>
      <c r="F33" s="1285"/>
      <c r="G33" s="1285"/>
      <c r="H33" s="1285"/>
      <c r="I33" s="1285"/>
      <c r="J33" s="1285"/>
      <c r="K33" s="1285"/>
      <c r="L33" s="1286"/>
      <c r="M33" s="1285"/>
      <c r="N33" s="1285"/>
      <c r="O33" s="1285"/>
      <c r="S33" s="3191" t="s">
        <v>458</v>
      </c>
      <c r="T33" s="3191"/>
      <c r="U33" s="1289"/>
      <c r="V33" s="3192" t="str">
        <f>IF(TITLE_NUMBER_PR_CHANGE="",IF(TITLE_NUMBER_PR="","",TITLE_NUMBER_PR),TITLE_NUMBER_PR_CHANGE)</f>
        <v>04-24/132, 04-24/131</v>
      </c>
      <c r="W33" s="3192"/>
      <c r="X33" s="3192"/>
      <c r="Y33" s="3192"/>
      <c r="Z33" s="3192"/>
      <c r="AA33" s="3192"/>
      <c r="AB33" s="3192"/>
      <c r="AC33" s="3192"/>
      <c r="AD33" s="3192"/>
      <c r="AE33" s="3192"/>
      <c r="AF33" s="261"/>
      <c r="AG33" s="3192" t="str">
        <f>IF(TITLE_NUMBER_PR_CHANGE="",IF(TITLE_NUMBER_PR="","",TITLE_NUMBER_PR),TITLE_NUMBER_PR_CHANGE)</f>
        <v>04-24/132, 04-24/131</v>
      </c>
      <c r="AH33" s="3192"/>
      <c r="AI33" s="3192"/>
      <c r="AJ33" s="3192"/>
      <c r="AK33" s="3192"/>
      <c r="AL33" s="3192"/>
      <c r="AM33" s="3192"/>
      <c r="AN33" s="3192"/>
      <c r="AO33" s="3192"/>
      <c r="AP33" s="3192"/>
      <c r="AQ33" s="261"/>
      <c r="AR33" s="261"/>
      <c r="AS33" s="215"/>
      <c r="AT33" s="302"/>
      <c r="AU33" s="302"/>
      <c r="AV33" s="302"/>
      <c r="AW33" s="302"/>
      <c r="AX33" s="302"/>
      <c r="AY33" s="352">
        <v>0</v>
      </c>
    </row>
    <row r="34" spans="1:51" s="2028" customFormat="1" ht="1" customHeight="1">
      <c r="A34" s="1285"/>
      <c r="B34" s="1285"/>
      <c r="C34" s="1285"/>
      <c r="D34" s="1285"/>
      <c r="E34" s="1285"/>
      <c r="F34" s="1285"/>
      <c r="G34" s="1285"/>
      <c r="H34" s="1285"/>
      <c r="I34" s="1285"/>
      <c r="J34" s="1285"/>
      <c r="K34" s="1285"/>
      <c r="L34" s="1286"/>
      <c r="M34" s="1285"/>
      <c r="N34" s="1285"/>
      <c r="O34" s="1285"/>
      <c r="S34" s="258"/>
      <c r="T34" s="258"/>
      <c r="U34" s="1405"/>
      <c r="V34" s="261"/>
      <c r="W34" s="1552"/>
      <c r="X34" s="1552"/>
      <c r="Y34" s="1552"/>
      <c r="Z34" s="1552"/>
      <c r="AA34" s="1552"/>
      <c r="AB34" s="261"/>
      <c r="AC34" s="261"/>
      <c r="AD34" s="261"/>
      <c r="AE34" s="261"/>
      <c r="AF34" s="213" t="s">
        <v>459</v>
      </c>
      <c r="AG34" s="261"/>
      <c r="AH34" s="1552"/>
      <c r="AI34" s="1552"/>
      <c r="AJ34" s="1552"/>
      <c r="AK34" s="1552"/>
      <c r="AL34" s="1552"/>
      <c r="AM34" s="261"/>
      <c r="AN34" s="261"/>
      <c r="AO34" s="261"/>
      <c r="AP34" s="261"/>
      <c r="AQ34" s="213" t="s">
        <v>459</v>
      </c>
      <c r="AT34" s="302"/>
      <c r="AU34" s="302"/>
      <c r="AV34" s="302"/>
      <c r="AW34" s="302"/>
      <c r="AX34" s="302"/>
      <c r="AY34" s="352">
        <v>1</v>
      </c>
    </row>
    <row r="35" spans="1:51" ht="14.65" customHeight="1">
      <c r="Q35" s="310"/>
      <c r="R35" s="310"/>
      <c r="S35" s="1192"/>
      <c r="T35" s="297"/>
      <c r="U35" s="1161"/>
      <c r="V35" s="3193"/>
      <c r="W35" s="3193"/>
      <c r="X35" s="3193"/>
      <c r="Y35" s="3193"/>
      <c r="Z35" s="3193"/>
      <c r="AA35" s="3193"/>
      <c r="AB35" s="3193"/>
      <c r="AC35" s="3193"/>
      <c r="AD35" s="3193"/>
      <c r="AE35" s="3193"/>
      <c r="AF35" s="3193"/>
      <c r="AG35" s="3193"/>
      <c r="AH35" s="3193"/>
      <c r="AI35" s="3193"/>
      <c r="AJ35" s="3193"/>
      <c r="AK35" s="3193"/>
      <c r="AL35" s="3193"/>
      <c r="AM35" s="3193"/>
      <c r="AN35" s="3193"/>
      <c r="AO35" s="3193"/>
      <c r="AP35" s="3193"/>
      <c r="AQ35" s="3193"/>
      <c r="AY35" s="1072">
        <v>14</v>
      </c>
    </row>
    <row r="36" spans="1:51" ht="14.65" customHeight="1">
      <c r="Q36" s="310"/>
      <c r="R36" s="310"/>
      <c r="S36" s="3067" t="s">
        <v>335</v>
      </c>
      <c r="T36" s="3067"/>
      <c r="U36" s="3067"/>
      <c r="V36" s="3067"/>
      <c r="W36" s="3067"/>
      <c r="X36" s="3067"/>
      <c r="Y36" s="3067"/>
      <c r="Z36" s="3067"/>
      <c r="AA36" s="3067"/>
      <c r="AB36" s="3067"/>
      <c r="AC36" s="3067"/>
      <c r="AD36" s="3067"/>
      <c r="AE36" s="3067"/>
      <c r="AF36" s="3067"/>
      <c r="AG36" s="3067"/>
      <c r="AH36" s="3067"/>
      <c r="AI36" s="3067"/>
      <c r="AJ36" s="3067"/>
      <c r="AK36" s="3067"/>
      <c r="AL36" s="3067"/>
      <c r="AM36" s="3067"/>
      <c r="AN36" s="3067"/>
      <c r="AO36" s="3067"/>
      <c r="AP36" s="3067"/>
      <c r="AQ36" s="3067"/>
      <c r="AR36" s="3067"/>
      <c r="AS36" s="3067" t="s">
        <v>336</v>
      </c>
      <c r="AY36" s="1072">
        <v>14</v>
      </c>
    </row>
    <row r="37" spans="1:51" ht="14.65" customHeight="1">
      <c r="Q37" s="310"/>
      <c r="R37" s="310"/>
      <c r="S37" s="3207" t="s">
        <v>89</v>
      </c>
      <c r="T37" s="3159" t="s">
        <v>460</v>
      </c>
      <c r="U37" s="236"/>
      <c r="V37" s="3208" t="s">
        <v>461</v>
      </c>
      <c r="W37" s="3209"/>
      <c r="X37" s="3209"/>
      <c r="Y37" s="3209"/>
      <c r="Z37" s="3209"/>
      <c r="AA37" s="3209"/>
      <c r="AB37" s="3209"/>
      <c r="AC37" s="3209"/>
      <c r="AD37" s="3209"/>
      <c r="AE37" s="3210"/>
      <c r="AF37" s="3211" t="s">
        <v>462</v>
      </c>
      <c r="AG37" s="3208" t="s">
        <v>461</v>
      </c>
      <c r="AH37" s="3209"/>
      <c r="AI37" s="3209"/>
      <c r="AJ37" s="3209"/>
      <c r="AK37" s="3209"/>
      <c r="AL37" s="3209"/>
      <c r="AM37" s="3209"/>
      <c r="AN37" s="3209"/>
      <c r="AO37" s="3209"/>
      <c r="AP37" s="3210"/>
      <c r="AQ37" s="3211" t="s">
        <v>463</v>
      </c>
      <c r="AR37" s="3214" t="s">
        <v>464</v>
      </c>
      <c r="AS37" s="3067"/>
      <c r="AY37" s="1072">
        <v>14</v>
      </c>
    </row>
    <row r="38" spans="1:51" s="2004" customFormat="1" ht="20" customHeight="1">
      <c r="A38" s="1283"/>
      <c r="B38" s="1283"/>
      <c r="C38" s="1283"/>
      <c r="D38" s="1283"/>
      <c r="E38" s="1283"/>
      <c r="F38" s="1283"/>
      <c r="G38" s="1283"/>
      <c r="H38" s="1283"/>
      <c r="I38" s="1283"/>
      <c r="J38" s="1283"/>
      <c r="K38" s="1283"/>
      <c r="L38" s="1891"/>
      <c r="M38" s="1279"/>
      <c r="N38" s="1279"/>
      <c r="O38" s="1279"/>
      <c r="P38" s="1892"/>
      <c r="Q38" s="310"/>
      <c r="R38" s="310"/>
      <c r="S38" s="3207"/>
      <c r="T38" s="3159"/>
      <c r="U38" s="952"/>
      <c r="V38" s="3067" t="s">
        <v>565</v>
      </c>
      <c r="W38" s="3281" t="s">
        <v>566</v>
      </c>
      <c r="X38" s="3281"/>
      <c r="Y38" s="3281"/>
      <c r="Z38" s="3281" t="s">
        <v>567</v>
      </c>
      <c r="AA38" s="3281"/>
      <c r="AB38" s="3281"/>
      <c r="AC38" s="3145" t="s">
        <v>468</v>
      </c>
      <c r="AD38" s="3239"/>
      <c r="AE38" s="3146"/>
      <c r="AF38" s="3212"/>
      <c r="AG38" s="3067" t="s">
        <v>565</v>
      </c>
      <c r="AH38" s="3281" t="s">
        <v>566</v>
      </c>
      <c r="AI38" s="3281"/>
      <c r="AJ38" s="3281"/>
      <c r="AK38" s="3281" t="s">
        <v>567</v>
      </c>
      <c r="AL38" s="3281"/>
      <c r="AM38" s="3281"/>
      <c r="AN38" s="3145" t="s">
        <v>468</v>
      </c>
      <c r="AO38" s="3239"/>
      <c r="AP38" s="3146"/>
      <c r="AQ38" s="3212"/>
      <c r="AR38" s="3215"/>
      <c r="AS38" s="3067"/>
      <c r="AT38" s="1553"/>
      <c r="AU38" s="1553"/>
      <c r="AV38" s="1553"/>
      <c r="AW38" s="1553"/>
      <c r="AX38" s="1553"/>
      <c r="AY38" s="1548">
        <v>19</v>
      </c>
    </row>
    <row r="39" spans="1:51" ht="20" customHeight="1">
      <c r="Q39" s="310"/>
      <c r="R39" s="310"/>
      <c r="S39" s="3207"/>
      <c r="T39" s="3159"/>
      <c r="U39" s="952"/>
      <c r="V39" s="3067"/>
      <c r="W39" s="3281" t="s">
        <v>568</v>
      </c>
      <c r="X39" s="3281" t="s">
        <v>569</v>
      </c>
      <c r="Y39" s="3281"/>
      <c r="Z39" s="3281" t="s">
        <v>570</v>
      </c>
      <c r="AA39" s="3281" t="s">
        <v>569</v>
      </c>
      <c r="AB39" s="3281"/>
      <c r="AC39" s="3150"/>
      <c r="AD39" s="3240"/>
      <c r="AE39" s="3151"/>
      <c r="AF39" s="3212"/>
      <c r="AG39" s="3067"/>
      <c r="AH39" s="3281" t="s">
        <v>568</v>
      </c>
      <c r="AI39" s="3281" t="s">
        <v>569</v>
      </c>
      <c r="AJ39" s="3281"/>
      <c r="AK39" s="3281" t="s">
        <v>570</v>
      </c>
      <c r="AL39" s="3281" t="s">
        <v>569</v>
      </c>
      <c r="AM39" s="3281"/>
      <c r="AN39" s="3150"/>
      <c r="AO39" s="3240"/>
      <c r="AP39" s="3151"/>
      <c r="AQ39" s="3212"/>
      <c r="AR39" s="3215"/>
      <c r="AS39" s="3067"/>
      <c r="AY39" s="1072">
        <v>19</v>
      </c>
    </row>
    <row r="40" spans="1:51" ht="62" customHeight="1">
      <c r="A40" s="1287"/>
      <c r="B40" s="1287" t="s">
        <v>149</v>
      </c>
      <c r="C40" s="1287" t="s">
        <v>150</v>
      </c>
      <c r="D40" s="1287" t="s">
        <v>151</v>
      </c>
      <c r="E40" s="1281" t="s">
        <v>469</v>
      </c>
      <c r="F40" s="1281" t="s">
        <v>470</v>
      </c>
      <c r="G40" s="1281" t="s">
        <v>471</v>
      </c>
      <c r="H40" s="1281"/>
      <c r="I40" s="1281" t="s">
        <v>523</v>
      </c>
      <c r="J40" s="1281" t="s">
        <v>474</v>
      </c>
      <c r="K40" s="1281" t="s">
        <v>524</v>
      </c>
      <c r="L40" s="1281" t="s">
        <v>450</v>
      </c>
      <c r="Q40" s="310"/>
      <c r="R40" s="310"/>
      <c r="S40" s="3207"/>
      <c r="T40" s="3159"/>
      <c r="U40" s="237"/>
      <c r="V40" s="3067"/>
      <c r="W40" s="3281"/>
      <c r="X40" s="1894" t="s">
        <v>571</v>
      </c>
      <c r="Y40" s="1894" t="s">
        <v>572</v>
      </c>
      <c r="Z40" s="3281"/>
      <c r="AA40" s="1894" t="s">
        <v>573</v>
      </c>
      <c r="AB40" s="1894" t="s">
        <v>574</v>
      </c>
      <c r="AC40" s="1406" t="s">
        <v>478</v>
      </c>
      <c r="AD40" s="3167" t="s">
        <v>479</v>
      </c>
      <c r="AE40" s="3169"/>
      <c r="AF40" s="3213"/>
      <c r="AG40" s="3067"/>
      <c r="AH40" s="3281"/>
      <c r="AI40" s="1894" t="s">
        <v>571</v>
      </c>
      <c r="AJ40" s="1894" t="s">
        <v>572</v>
      </c>
      <c r="AK40" s="3281"/>
      <c r="AL40" s="1894" t="s">
        <v>573</v>
      </c>
      <c r="AM40" s="1894" t="s">
        <v>574</v>
      </c>
      <c r="AN40" s="1406" t="s">
        <v>478</v>
      </c>
      <c r="AO40" s="3167" t="s">
        <v>479</v>
      </c>
      <c r="AP40" s="3169"/>
      <c r="AQ40" s="3213"/>
      <c r="AR40" s="3216"/>
      <c r="AS40" s="3067"/>
      <c r="AY40" s="1072">
        <v>59</v>
      </c>
    </row>
    <row r="41" spans="1:51" s="2212" customFormat="1" ht="11.25" hidden="1" customHeight="1">
      <c r="A41" s="1287"/>
      <c r="B41" s="1287"/>
      <c r="C41" s="1287"/>
      <c r="D41" s="1287"/>
      <c r="E41" s="1287"/>
      <c r="F41" s="1287"/>
      <c r="G41" s="1287"/>
      <c r="H41" s="1287"/>
      <c r="I41" s="1287"/>
      <c r="J41" s="1287"/>
      <c r="K41" s="1287"/>
      <c r="L41" s="1281"/>
      <c r="M41" s="1279"/>
      <c r="N41" s="1279"/>
      <c r="O41" s="1279"/>
      <c r="P41" s="1163"/>
      <c r="Q41" s="1164"/>
      <c r="R41" s="1171">
        <v>1</v>
      </c>
      <c r="S41" s="1194" t="s">
        <v>124</v>
      </c>
      <c r="T41" s="1172" t="s">
        <v>104</v>
      </c>
      <c r="U41" s="1162" t="str">
        <f ca="1">OFFSET(U41,0,-1)</f>
        <v>2</v>
      </c>
      <c r="V41" s="1399">
        <f ca="1">OFFSET(V41,0,-1)+1</f>
        <v>3</v>
      </c>
      <c r="W41" s="1890"/>
      <c r="X41" s="1890"/>
      <c r="Y41" s="1890"/>
      <c r="Z41" s="1890"/>
      <c r="AA41" s="1890"/>
      <c r="AB41" s="1399">
        <f ca="1">OFFSET(AB41,0,-1)+1</f>
        <v>1</v>
      </c>
      <c r="AC41" s="1399">
        <f ca="1">OFFSET(AC41,0,-1)+1</f>
        <v>2</v>
      </c>
      <c r="AD41" s="3206">
        <f ca="1">OFFSET(AD41,0,-1)+1</f>
        <v>3</v>
      </c>
      <c r="AE41" s="3206"/>
      <c r="AF41" s="1399">
        <f ca="1">OFFSET(AF41,0,-2)+1</f>
        <v>4</v>
      </c>
      <c r="AG41" s="1399">
        <f ca="1">OFFSET(AG41,0,-1)+1</f>
        <v>5</v>
      </c>
      <c r="AH41" s="1890"/>
      <c r="AI41" s="1890"/>
      <c r="AJ41" s="1890"/>
      <c r="AK41" s="1890"/>
      <c r="AL41" s="1890"/>
      <c r="AM41" s="1399">
        <f ca="1">OFFSET(AM41,0,-1)+1</f>
        <v>1</v>
      </c>
      <c r="AN41" s="1399">
        <f ca="1">OFFSET(AN41,0,-1)+1</f>
        <v>2</v>
      </c>
      <c r="AO41" s="3206">
        <f ca="1">OFFSET(AO41,0,-1)+1</f>
        <v>3</v>
      </c>
      <c r="AP41" s="3206"/>
      <c r="AQ41" s="1399">
        <f ca="1">OFFSET(AQ41,0,-2)+1</f>
        <v>4</v>
      </c>
      <c r="AR41" s="1162">
        <f ca="1">OFFSET(AR41,0,-1)</f>
        <v>4</v>
      </c>
      <c r="AS41" s="1399">
        <f ca="1">OFFSET(AS41,0,-1)+1</f>
        <v>5</v>
      </c>
      <c r="AT41" s="445"/>
      <c r="AU41" s="445"/>
      <c r="AV41" s="445"/>
      <c r="AW41" s="445"/>
      <c r="AX41" s="445"/>
      <c r="AY41" s="430">
        <v>0</v>
      </c>
    </row>
    <row r="42" spans="1:51" ht="24" customHeight="1">
      <c r="A42" s="1280" t="s">
        <v>291</v>
      </c>
      <c r="B42" s="1280"/>
      <c r="C42" s="1280"/>
      <c r="D42" s="1280"/>
      <c r="E42" s="3199">
        <v>1</v>
      </c>
      <c r="F42" s="1280"/>
      <c r="G42" s="1280"/>
      <c r="H42" s="1280"/>
      <c r="I42" s="1280"/>
      <c r="J42" s="1280"/>
      <c r="K42" s="1280"/>
      <c r="L42" s="1281"/>
      <c r="M42" s="1282"/>
      <c r="N42" s="1282"/>
      <c r="O42" s="1282"/>
      <c r="P42" s="295"/>
      <c r="Q42" s="294"/>
      <c r="R42" s="289"/>
      <c r="S42" s="1410">
        <f>INDEX(PT_DIFFERENTIATION_NUM_NTAR,MATCH(A42,PT_DIFFERENTIATION_NTAR_ID,0))</f>
        <v>0</v>
      </c>
      <c r="T42" s="233" t="s">
        <v>137</v>
      </c>
      <c r="U42" s="235"/>
      <c r="V42" s="3185"/>
      <c r="W42" s="3186"/>
      <c r="X42" s="3186"/>
      <c r="Y42" s="3186"/>
      <c r="Z42" s="3186"/>
      <c r="AA42" s="3186"/>
      <c r="AB42" s="3186"/>
      <c r="AC42" s="3186"/>
      <c r="AD42" s="3186"/>
      <c r="AE42" s="3186"/>
      <c r="AF42" s="3187"/>
      <c r="AG42" s="3185" t="str">
        <f>INDEX(PT_DIFFERENTIATION_NTAR,MATCH(A42,PT_DIFFERENTIATION_NTAR_ID,0))</f>
        <v/>
      </c>
      <c r="AH42" s="3186"/>
      <c r="AI42" s="3186"/>
      <c r="AJ42" s="3186"/>
      <c r="AK42" s="3186"/>
      <c r="AL42" s="3186"/>
      <c r="AM42" s="3186"/>
      <c r="AN42" s="3186"/>
      <c r="AO42" s="3186"/>
      <c r="AP42" s="3186"/>
      <c r="AQ42" s="3186"/>
      <c r="AR42" s="3187"/>
      <c r="AS42"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434"/>
      <c r="AV42" s="434" t="str">
        <f t="shared" ref="AV42:AV54" si="1">IF(T42="","",T42)</f>
        <v>Наименование тарифа</v>
      </c>
      <c r="AW42" s="434"/>
      <c r="AX42" s="434"/>
      <c r="AY42" s="1072">
        <v>23</v>
      </c>
    </row>
    <row r="43" spans="1:51" ht="24" customHeight="1">
      <c r="A43" s="1280" t="s">
        <v>291</v>
      </c>
      <c r="B43" s="1280" t="s">
        <v>292</v>
      </c>
      <c r="C43" s="1280"/>
      <c r="D43" s="1280"/>
      <c r="E43" s="3200"/>
      <c r="F43" s="3199">
        <v>1</v>
      </c>
      <c r="G43" s="1280"/>
      <c r="H43" s="1280"/>
      <c r="I43" s="1280"/>
      <c r="J43" s="1280"/>
      <c r="K43" s="1280"/>
      <c r="L43" s="1281"/>
      <c r="M43" s="1282"/>
      <c r="N43" s="1282"/>
      <c r="O43" s="1282"/>
      <c r="P43" s="1404"/>
      <c r="Q43" s="286"/>
      <c r="R43" s="287"/>
      <c r="S43" s="1410" t="str">
        <f>INDEX(PT_DIFFERENTIATION_NUM_TER,MATCH(B43,PT_DIFFERENTIATION_TER_ID,0))</f>
        <v>.</v>
      </c>
      <c r="T43" s="243" t="s">
        <v>432</v>
      </c>
      <c r="U43" s="235"/>
      <c r="V43" s="3185"/>
      <c r="W43" s="3186"/>
      <c r="X43" s="3186"/>
      <c r="Y43" s="3186"/>
      <c r="Z43" s="3186"/>
      <c r="AA43" s="3186"/>
      <c r="AB43" s="3186"/>
      <c r="AC43" s="3186"/>
      <c r="AD43" s="3186"/>
      <c r="AE43" s="3186"/>
      <c r="AF43" s="3187"/>
      <c r="AG43" s="3185" t="str">
        <f>INDEX(PT_DIFFERENTIATION_TER,MATCH(B43,PT_DIFFERENTIATION_TER_ID,0))</f>
        <v/>
      </c>
      <c r="AH43" s="3186"/>
      <c r="AI43" s="3186"/>
      <c r="AJ43" s="3186"/>
      <c r="AK43" s="3186"/>
      <c r="AL43" s="3186"/>
      <c r="AM43" s="3186"/>
      <c r="AN43" s="3186"/>
      <c r="AO43" s="3186"/>
      <c r="AP43" s="3186"/>
      <c r="AQ43" s="3186"/>
      <c r="AR43" s="3187"/>
      <c r="AS43" s="1175" t="s">
        <v>433</v>
      </c>
      <c r="AU43" s="434"/>
      <c r="AV43" s="434" t="str">
        <f t="shared" si="1"/>
        <v>Территория действия тарифа</v>
      </c>
      <c r="AW43" s="434"/>
      <c r="AX43" s="434"/>
      <c r="AY43" s="1072">
        <v>23</v>
      </c>
    </row>
    <row r="44" spans="1:51" ht="24" customHeight="1">
      <c r="A44" s="1280" t="s">
        <v>291</v>
      </c>
      <c r="B44" s="1280" t="s">
        <v>292</v>
      </c>
      <c r="C44" s="1280" t="s">
        <v>293</v>
      </c>
      <c r="D44" s="1280"/>
      <c r="E44" s="3200"/>
      <c r="F44" s="3200"/>
      <c r="G44" s="3199">
        <v>1</v>
      </c>
      <c r="H44" s="1280"/>
      <c r="I44" s="1280"/>
      <c r="J44" s="1280"/>
      <c r="K44" s="1280"/>
      <c r="L44" s="1281"/>
      <c r="M44" s="1282"/>
      <c r="N44" s="1282"/>
      <c r="O44" s="1282"/>
      <c r="P44" s="288"/>
      <c r="Q44" s="286"/>
      <c r="R44" s="287"/>
      <c r="S44" s="1410" t="str">
        <f>INDEX(PT_DIFFERENTIATION_NUM_CS,MATCH(C44,PT_DIFFERENTIATION_CS_ID,0))</f>
        <v>..</v>
      </c>
      <c r="T44" s="244" t="s">
        <v>563</v>
      </c>
      <c r="U44" s="235"/>
      <c r="V44" s="3185"/>
      <c r="W44" s="3186"/>
      <c r="X44" s="3186"/>
      <c r="Y44" s="3186"/>
      <c r="Z44" s="3186"/>
      <c r="AA44" s="3186"/>
      <c r="AB44" s="3186"/>
      <c r="AC44" s="3186"/>
      <c r="AD44" s="3186"/>
      <c r="AE44" s="3186"/>
      <c r="AF44" s="3187"/>
      <c r="AG44" s="3185" t="str">
        <f>INDEX(PT_DIFFERENTIATION_CS,MATCH(C44,PT_DIFFERENTIATION_CS_ID,0))</f>
        <v/>
      </c>
      <c r="AH44" s="3186"/>
      <c r="AI44" s="3186"/>
      <c r="AJ44" s="3186"/>
      <c r="AK44" s="3186"/>
      <c r="AL44" s="3186"/>
      <c r="AM44" s="3186"/>
      <c r="AN44" s="3186"/>
      <c r="AO44" s="3186"/>
      <c r="AP44" s="3186"/>
      <c r="AQ44" s="3186"/>
      <c r="AR44" s="3187"/>
      <c r="AS44" s="1175" t="s">
        <v>564</v>
      </c>
      <c r="AU44" s="434"/>
      <c r="AV44" s="434" t="str">
        <f t="shared" si="1"/>
        <v>Наименование централизованной системы горячего водоснабжения</v>
      </c>
      <c r="AW44" s="434"/>
      <c r="AX44" s="434"/>
      <c r="AY44" s="1072">
        <v>23</v>
      </c>
    </row>
    <row r="45" spans="1:51" ht="24" customHeight="1">
      <c r="A45" s="1280" t="s">
        <v>291</v>
      </c>
      <c r="B45" s="1280" t="s">
        <v>292</v>
      </c>
      <c r="C45" s="1280" t="s">
        <v>293</v>
      </c>
      <c r="D45" s="1280" t="s">
        <v>576</v>
      </c>
      <c r="E45" s="3200"/>
      <c r="F45" s="3200"/>
      <c r="G45" s="3200"/>
      <c r="H45" s="3200"/>
      <c r="I45" s="3197" t="str">
        <f>S44&amp;".1"</f>
        <v>...1</v>
      </c>
      <c r="J45" s="1280"/>
      <c r="K45" s="1280"/>
      <c r="L45" s="1281"/>
      <c r="P45" s="3198">
        <v>1</v>
      </c>
      <c r="Q45" s="1398"/>
      <c r="R45" s="290"/>
      <c r="S45" s="1410" t="str">
        <f>$I45</f>
        <v>...1</v>
      </c>
      <c r="T45" s="220" t="s">
        <v>516</v>
      </c>
      <c r="U45" s="235"/>
      <c r="V45" s="3266"/>
      <c r="W45" s="3267"/>
      <c r="X45" s="3267"/>
      <c r="Y45" s="3267"/>
      <c r="Z45" s="3267"/>
      <c r="AA45" s="3267"/>
      <c r="AB45" s="3267"/>
      <c r="AC45" s="3267"/>
      <c r="AD45" s="3267"/>
      <c r="AE45" s="3267"/>
      <c r="AF45" s="3268"/>
      <c r="AG45" s="3269"/>
      <c r="AH45" s="3270"/>
      <c r="AI45" s="3270"/>
      <c r="AJ45" s="3270"/>
      <c r="AK45" s="3270"/>
      <c r="AL45" s="3270"/>
      <c r="AM45" s="3270"/>
      <c r="AN45" s="3270"/>
      <c r="AO45" s="3270"/>
      <c r="AP45" s="3270"/>
      <c r="AQ45" s="3270"/>
      <c r="AR45" s="3271"/>
      <c r="AS45" s="1175" t="s">
        <v>517</v>
      </c>
      <c r="AU45" s="434"/>
      <c r="AV45" s="434" t="str">
        <f t="shared" si="1"/>
        <v>Наименование признака дифференциации</v>
      </c>
      <c r="AW45" s="434"/>
      <c r="AX45" s="434"/>
      <c r="AY45" s="1072">
        <v>23</v>
      </c>
    </row>
    <row r="46" spans="1:51" ht="24" customHeight="1">
      <c r="A46" s="1280" t="s">
        <v>291</v>
      </c>
      <c r="B46" s="1280" t="s">
        <v>292</v>
      </c>
      <c r="C46" s="1280" t="s">
        <v>293</v>
      </c>
      <c r="D46" s="1280" t="s">
        <v>576</v>
      </c>
      <c r="E46" s="3200"/>
      <c r="F46" s="3200"/>
      <c r="G46" s="3200"/>
      <c r="H46" s="3200"/>
      <c r="I46" s="3220"/>
      <c r="J46" s="3197" t="str">
        <f>I45&amp;".1"</f>
        <v>...1.1</v>
      </c>
      <c r="K46" s="1280"/>
      <c r="L46" s="1281" t="s">
        <v>441</v>
      </c>
      <c r="P46" s="3198"/>
      <c r="Q46" s="3198">
        <v>1</v>
      </c>
      <c r="R46" s="291"/>
      <c r="S46" s="1410" t="str">
        <f>$J46</f>
        <v>...1.1</v>
      </c>
      <c r="T46" s="221" t="s">
        <v>442</v>
      </c>
      <c r="U46" s="235"/>
      <c r="V46" s="3188"/>
      <c r="W46" s="3189"/>
      <c r="X46" s="3189"/>
      <c r="Y46" s="3189"/>
      <c r="Z46" s="3189"/>
      <c r="AA46" s="3189"/>
      <c r="AB46" s="3189"/>
      <c r="AC46" s="3189"/>
      <c r="AD46" s="3189"/>
      <c r="AE46" s="3189"/>
      <c r="AF46" s="3190"/>
      <c r="AG46" s="3188"/>
      <c r="AH46" s="3189"/>
      <c r="AI46" s="3189"/>
      <c r="AJ46" s="3189"/>
      <c r="AK46" s="3189"/>
      <c r="AL46" s="3189"/>
      <c r="AM46" s="3189"/>
      <c r="AN46" s="3189"/>
      <c r="AO46" s="3189"/>
      <c r="AP46" s="3189"/>
      <c r="AQ46" s="3189"/>
      <c r="AR46" s="3190"/>
      <c r="AS46" s="1224" t="s">
        <v>518</v>
      </c>
      <c r="AU46" s="434"/>
      <c r="AV46" s="434" t="str">
        <f t="shared" si="1"/>
        <v>Группа потребителей</v>
      </c>
      <c r="AW46" s="434"/>
      <c r="AX46" s="434"/>
      <c r="AY46" s="1072">
        <v>23</v>
      </c>
    </row>
    <row r="47" spans="1:51" ht="24" customHeight="1">
      <c r="A47" s="1280" t="s">
        <v>291</v>
      </c>
      <c r="B47" s="1280" t="s">
        <v>292</v>
      </c>
      <c r="C47" s="1280" t="s">
        <v>293</v>
      </c>
      <c r="D47" s="1280" t="s">
        <v>576</v>
      </c>
      <c r="E47" s="3200"/>
      <c r="F47" s="3200"/>
      <c r="G47" s="3200"/>
      <c r="H47" s="3200"/>
      <c r="I47" s="3220"/>
      <c r="J47" s="3220"/>
      <c r="K47" s="3197" t="str">
        <f>J46&amp;".1"</f>
        <v>...1.1.1</v>
      </c>
      <c r="L47" s="1281"/>
      <c r="P47" s="3198"/>
      <c r="Q47" s="3198"/>
      <c r="R47" s="291">
        <v>1</v>
      </c>
      <c r="S47" s="1410" t="str">
        <f>$K47</f>
        <v>...1.1.1</v>
      </c>
      <c r="T47" s="1354"/>
      <c r="U47" s="235"/>
      <c r="V47" s="1277"/>
      <c r="W47" s="1277"/>
      <c r="X47" s="1277"/>
      <c r="Y47" s="1277"/>
      <c r="Z47" s="1277"/>
      <c r="AA47" s="1277"/>
      <c r="AB47" s="1278"/>
      <c r="AC47" s="3204"/>
      <c r="AD47" s="3205" t="s">
        <v>67</v>
      </c>
      <c r="AE47" s="3204"/>
      <c r="AF47" s="3205" t="s">
        <v>67</v>
      </c>
      <c r="AG47" s="685"/>
      <c r="AH47" s="685"/>
      <c r="AI47" s="685"/>
      <c r="AJ47" s="685"/>
      <c r="AK47" s="685"/>
      <c r="AL47" s="685"/>
      <c r="AM47" s="1174"/>
      <c r="AN47" s="3202"/>
      <c r="AO47" s="3048" t="s">
        <v>67</v>
      </c>
      <c r="AP47" s="3221"/>
      <c r="AQ47" s="3048" t="s">
        <v>19</v>
      </c>
      <c r="AR47" s="1355"/>
      <c r="AS47" s="3265"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5" t="e">
        <f ca="1">STRCHECKDATE(V48:AR48)</f>
        <v>#NAME?</v>
      </c>
      <c r="AU47" s="434"/>
      <c r="AV47" s="434" t="str">
        <f t="shared" si="1"/>
        <v/>
      </c>
      <c r="AW47" s="434"/>
      <c r="AX47" s="434"/>
      <c r="AY47" s="1072">
        <v>23</v>
      </c>
    </row>
    <row r="48" spans="1:51" ht="0" hidden="1" customHeight="1">
      <c r="A48" s="1280" t="s">
        <v>291</v>
      </c>
      <c r="B48" s="1280" t="s">
        <v>292</v>
      </c>
      <c r="C48" s="1280" t="s">
        <v>293</v>
      </c>
      <c r="D48" s="1280" t="s">
        <v>576</v>
      </c>
      <c r="E48" s="3200"/>
      <c r="F48" s="3200"/>
      <c r="G48" s="3200"/>
      <c r="H48" s="3200"/>
      <c r="I48" s="3220"/>
      <c r="J48" s="3220"/>
      <c r="K48" s="3197"/>
      <c r="L48" s="1281"/>
      <c r="P48" s="3198"/>
      <c r="Q48" s="3198"/>
      <c r="R48" s="291"/>
      <c r="S48" s="1407"/>
      <c r="T48" s="235"/>
      <c r="U48" s="235"/>
      <c r="V48" s="1277"/>
      <c r="W48" s="1277"/>
      <c r="X48" s="1277"/>
      <c r="Y48" s="1277"/>
      <c r="Z48" s="1277"/>
      <c r="AA48" s="1277"/>
      <c r="AB48" s="263" t="str">
        <f>AC47&amp;"-"&amp;AE47</f>
        <v>-</v>
      </c>
      <c r="AC48" s="3205"/>
      <c r="AD48" s="3205"/>
      <c r="AE48" s="3205"/>
      <c r="AF48" s="3205"/>
      <c r="AG48" s="260"/>
      <c r="AH48" s="260"/>
      <c r="AI48" s="260"/>
      <c r="AJ48" s="260"/>
      <c r="AK48" s="260"/>
      <c r="AL48" s="260"/>
      <c r="AM48" s="263" t="str">
        <f>AN47&amp;"-"&amp;AP47</f>
        <v>-</v>
      </c>
      <c r="AN48" s="3203"/>
      <c r="AO48" s="3048"/>
      <c r="AP48" s="3222"/>
      <c r="AQ48" s="3048"/>
      <c r="AR48" s="1356"/>
      <c r="AS48" s="3265"/>
      <c r="AU48" s="434"/>
      <c r="AV48" s="434" t="str">
        <f t="shared" si="1"/>
        <v/>
      </c>
      <c r="AW48" s="434"/>
      <c r="AX48" s="434"/>
      <c r="AY48" s="1072">
        <v>0</v>
      </c>
    </row>
    <row r="49" spans="1:51" ht="21" customHeight="1">
      <c r="A49" s="1280" t="s">
        <v>291</v>
      </c>
      <c r="B49" s="1280" t="s">
        <v>292</v>
      </c>
      <c r="C49" s="1280" t="s">
        <v>293</v>
      </c>
      <c r="D49" s="1280" t="s">
        <v>576</v>
      </c>
      <c r="E49" s="3200"/>
      <c r="F49" s="3200"/>
      <c r="G49" s="3200"/>
      <c r="H49" s="3200"/>
      <c r="I49" s="3220"/>
      <c r="J49" s="3197"/>
      <c r="K49" s="1280"/>
      <c r="L49" s="1281"/>
      <c r="P49" s="3198"/>
      <c r="Q49" s="3198"/>
      <c r="R49" s="290"/>
      <c r="S49" s="1195"/>
      <c r="T49" s="222" t="s">
        <v>519</v>
      </c>
      <c r="U49" s="301"/>
      <c r="V49" s="301"/>
      <c r="W49" s="534"/>
      <c r="X49" s="534"/>
      <c r="Y49" s="534"/>
      <c r="Z49" s="534"/>
      <c r="AA49" s="534"/>
      <c r="AB49" s="301"/>
      <c r="AC49" s="301"/>
      <c r="AD49" s="301"/>
      <c r="AE49" s="301"/>
      <c r="AF49" s="301"/>
      <c r="AG49" s="301"/>
      <c r="AH49" s="534"/>
      <c r="AI49" s="534"/>
      <c r="AJ49" s="534"/>
      <c r="AK49" s="534"/>
      <c r="AL49" s="534"/>
      <c r="AM49" s="301"/>
      <c r="AN49" s="301"/>
      <c r="AO49" s="301"/>
      <c r="AP49" s="301"/>
      <c r="AQ49" s="301"/>
      <c r="AR49" s="301"/>
      <c r="AS49" s="1175" t="s">
        <v>520</v>
      </c>
      <c r="AU49" s="434"/>
      <c r="AV49" s="434" t="str">
        <f t="shared" si="1"/>
        <v>Добавить значение признака дифференциации</v>
      </c>
      <c r="AW49" s="434"/>
      <c r="AX49" s="434"/>
      <c r="AY49" s="1072">
        <v>20</v>
      </c>
    </row>
    <row r="50" spans="1:51" ht="22" customHeight="1">
      <c r="A50" s="1280" t="s">
        <v>291</v>
      </c>
      <c r="B50" s="1280" t="s">
        <v>292</v>
      </c>
      <c r="C50" s="1280" t="s">
        <v>293</v>
      </c>
      <c r="D50" s="1280" t="s">
        <v>576</v>
      </c>
      <c r="E50" s="3200"/>
      <c r="F50" s="3200"/>
      <c r="G50" s="3200"/>
      <c r="H50" s="3200"/>
      <c r="I50" s="3197"/>
      <c r="J50" s="1280"/>
      <c r="K50" s="1280"/>
      <c r="L50" s="1281"/>
      <c r="P50" s="3198"/>
      <c r="Q50" s="1398"/>
      <c r="R50" s="290"/>
      <c r="S50" s="1195"/>
      <c r="T50" s="299" t="s">
        <v>447</v>
      </c>
      <c r="U50" s="301"/>
      <c r="V50" s="301"/>
      <c r="W50" s="534"/>
      <c r="X50" s="534"/>
      <c r="Y50" s="534"/>
      <c r="Z50" s="534"/>
      <c r="AA50" s="534"/>
      <c r="AB50" s="301"/>
      <c r="AC50" s="301"/>
      <c r="AD50" s="301"/>
      <c r="AE50" s="301"/>
      <c r="AF50" s="300"/>
      <c r="AG50" s="301"/>
      <c r="AH50" s="534"/>
      <c r="AI50" s="534"/>
      <c r="AJ50" s="534"/>
      <c r="AK50" s="534"/>
      <c r="AL50" s="534"/>
      <c r="AM50" s="301"/>
      <c r="AN50" s="301"/>
      <c r="AO50" s="301"/>
      <c r="AP50" s="301"/>
      <c r="AQ50" s="300"/>
      <c r="AR50" s="301"/>
      <c r="AS50" s="1357"/>
      <c r="AU50" s="434"/>
      <c r="AV50" s="434" t="str">
        <f t="shared" si="1"/>
        <v>Добавить группу потребителей</v>
      </c>
      <c r="AW50" s="434"/>
      <c r="AX50" s="434"/>
      <c r="AY50" s="1072">
        <v>21</v>
      </c>
    </row>
    <row r="51" spans="1:51" ht="22" customHeight="1">
      <c r="A51" s="1280" t="s">
        <v>291</v>
      </c>
      <c r="B51" s="1280" t="s">
        <v>292</v>
      </c>
      <c r="C51" s="1280" t="s">
        <v>293</v>
      </c>
      <c r="D51" s="1280" t="s">
        <v>576</v>
      </c>
      <c r="E51" s="3200"/>
      <c r="F51" s="3200"/>
      <c r="G51" s="3200"/>
      <c r="H51" s="3199"/>
      <c r="I51" s="1280"/>
      <c r="J51" s="1280"/>
      <c r="K51" s="1280"/>
      <c r="L51" s="1281"/>
      <c r="M51" s="1282"/>
      <c r="N51" s="1282"/>
      <c r="O51" s="471"/>
      <c r="P51" s="294"/>
      <c r="Q51" s="309"/>
      <c r="R51" s="289"/>
      <c r="S51" s="1195"/>
      <c r="T51" s="306" t="s">
        <v>521</v>
      </c>
      <c r="U51" s="301"/>
      <c r="V51" s="301"/>
      <c r="W51" s="534"/>
      <c r="X51" s="534"/>
      <c r="Y51" s="534"/>
      <c r="Z51" s="534"/>
      <c r="AA51" s="534"/>
      <c r="AB51" s="301"/>
      <c r="AC51" s="301"/>
      <c r="AD51" s="301"/>
      <c r="AE51" s="301"/>
      <c r="AF51" s="300"/>
      <c r="AG51" s="301"/>
      <c r="AH51" s="534"/>
      <c r="AI51" s="534"/>
      <c r="AJ51" s="534"/>
      <c r="AK51" s="534"/>
      <c r="AL51" s="534"/>
      <c r="AM51" s="301"/>
      <c r="AN51" s="301"/>
      <c r="AO51" s="301"/>
      <c r="AP51" s="301"/>
      <c r="AQ51" s="300"/>
      <c r="AR51" s="301"/>
      <c r="AS51" s="238"/>
      <c r="AU51" s="434"/>
      <c r="AV51" s="434" t="str">
        <f t="shared" si="1"/>
        <v>Добавить наименование признака дифференциации</v>
      </c>
      <c r="AW51" s="434"/>
      <c r="AX51" s="434"/>
      <c r="AY51" s="1072">
        <v>21</v>
      </c>
    </row>
    <row r="52" spans="1:51" s="2017" customFormat="1" ht="0" hidden="1" customHeight="1">
      <c r="A52" s="1260" t="s">
        <v>291</v>
      </c>
      <c r="B52" s="1260" t="s">
        <v>292</v>
      </c>
      <c r="C52" s="1231"/>
      <c r="D52" s="1231"/>
      <c r="E52" s="3200"/>
      <c r="F52" s="3199"/>
      <c r="G52" s="1231"/>
      <c r="H52" s="1231"/>
      <c r="I52" s="1231"/>
      <c r="J52" s="1231"/>
      <c r="K52" s="1231"/>
      <c r="L52" s="1411"/>
      <c r="M52" s="1238"/>
      <c r="N52" s="1238"/>
      <c r="P52" s="1233"/>
      <c r="Q52" s="1234"/>
      <c r="R52" s="1233"/>
      <c r="S52" s="1239"/>
      <c r="T52" s="1242" t="s">
        <v>181</v>
      </c>
      <c r="U52" s="1241"/>
      <c r="V52" s="1241"/>
      <c r="W52" s="1241"/>
      <c r="X52" s="1241"/>
      <c r="Y52" s="1241"/>
      <c r="Z52" s="1241"/>
      <c r="AA52" s="1241"/>
      <c r="AB52" s="1241"/>
      <c r="AC52" s="1241"/>
      <c r="AD52" s="1241"/>
      <c r="AE52" s="1241"/>
      <c r="AF52" s="1241"/>
      <c r="AG52" s="1241"/>
      <c r="AH52" s="1241"/>
      <c r="AI52" s="1241"/>
      <c r="AJ52" s="1241"/>
      <c r="AK52" s="1241"/>
      <c r="AL52" s="1241"/>
      <c r="AM52" s="1241"/>
      <c r="AN52" s="1241"/>
      <c r="AO52" s="1241"/>
      <c r="AP52" s="1241"/>
      <c r="AQ52" s="1241"/>
      <c r="AR52" s="1241"/>
      <c r="AS52" s="1241"/>
      <c r="AU52" s="717"/>
      <c r="AV52" s="717" t="str">
        <f t="shared" si="1"/>
        <v>Добавить централизованную систему для дифференциации</v>
      </c>
      <c r="AW52" s="717"/>
      <c r="AX52" s="717"/>
      <c r="AY52" s="452">
        <v>0</v>
      </c>
    </row>
    <row r="53" spans="1:51" s="2017" customFormat="1" ht="0" hidden="1" customHeight="1">
      <c r="A53" s="1260" t="s">
        <v>291</v>
      </c>
      <c r="B53" s="1260"/>
      <c r="C53" s="1260"/>
      <c r="D53" s="1260"/>
      <c r="E53" s="3199"/>
      <c r="F53" s="1260"/>
      <c r="G53" s="1260"/>
      <c r="H53" s="1260"/>
      <c r="I53" s="1260"/>
      <c r="J53" s="1260"/>
      <c r="K53" s="1260"/>
      <c r="L53" s="1263"/>
      <c r="M53" s="1238"/>
      <c r="N53" s="1238"/>
      <c r="O53" s="452"/>
      <c r="P53" s="314"/>
      <c r="Q53" s="1261"/>
      <c r="R53" s="314"/>
      <c r="S53" s="1239"/>
      <c r="T53" s="1242" t="s">
        <v>188</v>
      </c>
      <c r="U53" s="1241"/>
      <c r="V53" s="1241"/>
      <c r="W53" s="1241"/>
      <c r="X53" s="1241"/>
      <c r="Y53" s="1241"/>
      <c r="Z53" s="1241"/>
      <c r="AA53" s="1241"/>
      <c r="AB53" s="1241"/>
      <c r="AC53" s="1241"/>
      <c r="AD53" s="1241"/>
      <c r="AE53" s="1241"/>
      <c r="AF53" s="1241"/>
      <c r="AG53" s="1241"/>
      <c r="AH53" s="1241"/>
      <c r="AI53" s="1241"/>
      <c r="AJ53" s="1241"/>
      <c r="AK53" s="1241"/>
      <c r="AL53" s="1241"/>
      <c r="AM53" s="1241"/>
      <c r="AN53" s="1241"/>
      <c r="AO53" s="1241"/>
      <c r="AP53" s="1241"/>
      <c r="AQ53" s="1241"/>
      <c r="AR53" s="1241"/>
      <c r="AS53" s="1241"/>
      <c r="AU53" s="434"/>
      <c r="AV53" s="434" t="str">
        <f t="shared" si="1"/>
        <v>Добавить территорию для дифференциации</v>
      </c>
      <c r="AW53" s="434"/>
      <c r="AX53" s="434"/>
      <c r="AY53" s="445">
        <v>0</v>
      </c>
    </row>
    <row r="54" spans="1:51" s="2017" customFormat="1" ht="0" hidden="1" customHeight="1">
      <c r="A54" s="1231"/>
      <c r="B54" s="1231"/>
      <c r="C54" s="1231"/>
      <c r="D54" s="1231"/>
      <c r="E54" s="1260"/>
      <c r="F54" s="1231"/>
      <c r="G54" s="1231"/>
      <c r="H54" s="1231"/>
      <c r="I54" s="1231"/>
      <c r="J54" s="1231"/>
      <c r="K54" s="1231"/>
      <c r="L54" s="1411"/>
      <c r="M54" s="1238"/>
      <c r="N54" s="1238"/>
      <c r="P54" s="1233"/>
      <c r="Q54" s="1234"/>
      <c r="R54" s="1233"/>
      <c r="S54" s="1239"/>
      <c r="T54" s="1242" t="s">
        <v>189</v>
      </c>
      <c r="U54" s="1241"/>
      <c r="V54" s="1241"/>
      <c r="W54" s="1241"/>
      <c r="X54" s="1241"/>
      <c r="Y54" s="1241"/>
      <c r="Z54" s="1241"/>
      <c r="AA54" s="1241"/>
      <c r="AB54" s="1241"/>
      <c r="AC54" s="1241"/>
      <c r="AD54" s="1241"/>
      <c r="AE54" s="1241"/>
      <c r="AF54" s="1241"/>
      <c r="AG54" s="1241"/>
      <c r="AH54" s="1241"/>
      <c r="AI54" s="1241"/>
      <c r="AJ54" s="1241"/>
      <c r="AK54" s="1241"/>
      <c r="AL54" s="1241"/>
      <c r="AM54" s="1241"/>
      <c r="AN54" s="1241"/>
      <c r="AO54" s="1241"/>
      <c r="AP54" s="1241"/>
      <c r="AQ54" s="1241"/>
      <c r="AR54" s="1241"/>
      <c r="AS54" s="1241"/>
      <c r="AU54" s="717"/>
      <c r="AV54" s="717" t="str">
        <f t="shared" si="1"/>
        <v>Добавить наименование тарифа</v>
      </c>
      <c r="AW54" s="717"/>
      <c r="AX54" s="717"/>
      <c r="AY54" s="452">
        <v>0</v>
      </c>
    </row>
    <row r="55" spans="1:51" ht="11.5" customHeight="1">
      <c r="M55" s="1077"/>
      <c r="N55" s="1077"/>
      <c r="O55" s="471"/>
      <c r="P55" s="1072"/>
      <c r="Q55" s="1072"/>
      <c r="R55" s="1072"/>
      <c r="S55" s="1072"/>
      <c r="AT55" s="1072"/>
      <c r="AU55" s="1072"/>
      <c r="AV55" s="1072"/>
      <c r="AW55" s="1072"/>
      <c r="AX55" s="1072"/>
      <c r="AY55" s="1072">
        <v>11</v>
      </c>
    </row>
    <row r="56" spans="1:51" ht="14.65" customHeight="1">
      <c r="O56" s="471"/>
      <c r="S56" s="1170"/>
      <c r="T56" s="3219"/>
      <c r="U56" s="3219"/>
      <c r="V56" s="3219"/>
      <c r="W56" s="3219"/>
      <c r="X56" s="3219"/>
      <c r="Y56" s="3219"/>
      <c r="Z56" s="3219"/>
      <c r="AA56" s="3219"/>
      <c r="AB56" s="3219"/>
      <c r="AC56" s="3219"/>
      <c r="AD56" s="3219"/>
      <c r="AE56" s="3219"/>
      <c r="AF56" s="3219"/>
      <c r="AG56" s="3219"/>
      <c r="AH56" s="3219"/>
      <c r="AI56" s="3219"/>
      <c r="AJ56" s="3219"/>
      <c r="AK56" s="3219"/>
      <c r="AL56" s="3219"/>
      <c r="AM56" s="3219"/>
      <c r="AN56" s="3219"/>
      <c r="AO56" s="3219"/>
      <c r="AP56" s="3219"/>
      <c r="AQ56" s="3219"/>
      <c r="AR56" s="3219"/>
      <c r="AS56" s="3219"/>
      <c r="AY56" s="1072">
        <v>14</v>
      </c>
    </row>
    <row r="57" spans="1:51" ht="14.65" customHeight="1">
      <c r="O57" s="471"/>
      <c r="AY57" s="1072">
        <v>14</v>
      </c>
    </row>
    <row r="58" spans="1:51" ht="14.65" customHeight="1">
      <c r="O58" s="471"/>
      <c r="S58" s="1170"/>
      <c r="T58" s="3219"/>
      <c r="U58" s="3219"/>
      <c r="V58" s="3219"/>
      <c r="W58" s="3219"/>
      <c r="X58" s="3219"/>
      <c r="Y58" s="3219"/>
      <c r="Z58" s="3219"/>
      <c r="AA58" s="3219"/>
      <c r="AB58" s="3219"/>
      <c r="AC58" s="3219"/>
      <c r="AD58" s="3219"/>
      <c r="AE58" s="3219"/>
      <c r="AF58" s="3219"/>
      <c r="AG58" s="3219"/>
      <c r="AH58" s="3219"/>
      <c r="AI58" s="3219"/>
      <c r="AJ58" s="3219"/>
      <c r="AK58" s="3219"/>
      <c r="AL58" s="3219"/>
      <c r="AM58" s="3219"/>
      <c r="AN58" s="3219"/>
      <c r="AO58" s="3219"/>
      <c r="AP58" s="3219"/>
      <c r="AQ58" s="3219"/>
      <c r="AR58" s="3219"/>
      <c r="AS58" s="3219"/>
      <c r="AY58" s="1072">
        <v>14</v>
      </c>
    </row>
    <row r="59" spans="1:51" ht="22.5" hidden="1" customHeight="1">
      <c r="A59" s="1077" t="s">
        <v>83</v>
      </c>
      <c r="B59" s="1077">
        <v>0</v>
      </c>
      <c r="C59" s="1077">
        <v>0</v>
      </c>
      <c r="D59" s="1077">
        <v>0</v>
      </c>
      <c r="E59" s="1077">
        <v>0</v>
      </c>
      <c r="F59" s="1077">
        <v>0</v>
      </c>
      <c r="G59" s="1077">
        <v>0</v>
      </c>
      <c r="H59" s="1077">
        <v>0</v>
      </c>
      <c r="I59" s="1077">
        <v>0</v>
      </c>
      <c r="J59" s="1077">
        <v>0</v>
      </c>
      <c r="K59" s="1077">
        <v>0</v>
      </c>
      <c r="L59" s="1395">
        <v>0</v>
      </c>
      <c r="M59" s="1279">
        <v>0</v>
      </c>
      <c r="N59" s="1279">
        <v>0</v>
      </c>
      <c r="O59" s="1279">
        <v>0</v>
      </c>
      <c r="P59" s="1390">
        <v>3</v>
      </c>
      <c r="Q59" s="279">
        <v>3</v>
      </c>
      <c r="R59" s="279">
        <v>3</v>
      </c>
      <c r="S59" s="515">
        <v>12</v>
      </c>
      <c r="T59" s="1072">
        <v>35</v>
      </c>
      <c r="U59" s="1072">
        <v>0</v>
      </c>
      <c r="V59" s="1072">
        <v>0</v>
      </c>
      <c r="W59" s="1548">
        <v>0</v>
      </c>
      <c r="X59" s="1548">
        <v>0</v>
      </c>
      <c r="Y59" s="1548">
        <v>0</v>
      </c>
      <c r="Z59" s="1548">
        <v>0</v>
      </c>
      <c r="AA59" s="1548">
        <v>0</v>
      </c>
      <c r="AB59" s="1072">
        <v>0</v>
      </c>
      <c r="AC59" s="1072">
        <v>0</v>
      </c>
      <c r="AD59" s="1072">
        <v>0</v>
      </c>
      <c r="AE59" s="1072">
        <v>0</v>
      </c>
      <c r="AF59" s="1072">
        <v>0</v>
      </c>
      <c r="AG59" s="1072">
        <v>19</v>
      </c>
      <c r="AH59" s="1548">
        <v>19</v>
      </c>
      <c r="AI59" s="1548">
        <v>19</v>
      </c>
      <c r="AJ59" s="1548">
        <v>19</v>
      </c>
      <c r="AK59" s="1548">
        <v>19</v>
      </c>
      <c r="AL59" s="1548">
        <v>19</v>
      </c>
      <c r="AM59" s="1072">
        <v>19</v>
      </c>
      <c r="AN59" s="1072">
        <v>11</v>
      </c>
      <c r="AO59" s="1072">
        <v>3</v>
      </c>
      <c r="AP59" s="1072">
        <v>11</v>
      </c>
      <c r="AQ59" s="1072">
        <v>0</v>
      </c>
      <c r="AR59" s="1072">
        <v>4</v>
      </c>
      <c r="AS59" s="1072">
        <v>115</v>
      </c>
      <c r="AT59" s="445">
        <v>10</v>
      </c>
      <c r="AU59" s="445">
        <v>10</v>
      </c>
      <c r="AV59" s="445">
        <v>10</v>
      </c>
      <c r="AW59" s="445">
        <v>10</v>
      </c>
      <c r="AX59" s="445">
        <v>10</v>
      </c>
      <c r="AY59" s="1072">
        <v>23</v>
      </c>
    </row>
  </sheetData>
  <sheetProtection formatColumns="0" formatRows="0" insertRows="0" deleteColumns="0" deleteRows="0" sort="0" autoFilter="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xr:uid="{00000000-0002-0000-1E00-000000000000}"/>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xr:uid="{00000000-0002-0000-1E00-000001000000}">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xr:uid="{00000000-0002-0000-1E00-000002000000}">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xr:uid="{00000000-0002-0000-1E00-000003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xr:uid="{00000000-0002-0000-1E00-000004000000}"/>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xr:uid="{00000000-0002-0000-1E00-000005000000}"/>
    <dataValidation allowBlank="1" sqref="S131117:AS131123 S196653:AS196659 S262189:AS262195 S327725:AS327731 S393261:AS393267 S458797:AS458803 S524333:AS524339 S589869:AS589875 S655405:AS655411 S720941:AS720947 S786477:AS786483 S852013:AS852019 S917549:AS917555 S983085:AS983091 S65581:AS65587" xr:uid="{00000000-0002-0000-1E00-000006000000}"/>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xr:uid="{00000000-0002-0000-1E00-000007000000}">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F852C9-D92E-16C8-7293-E0B8FD30E3A4}">
  <sheetPr>
    <tabColor theme="6" tint="0.39997558519241921"/>
  </sheetPr>
  <dimension ref="A1:BI69"/>
  <sheetViews>
    <sheetView showGridLines="0" topLeftCell="R27" zoomScale="90" workbookViewId="0"/>
  </sheetViews>
  <sheetFormatPr defaultColWidth="10.59765625" defaultRowHeight="14.25" customHeight="1"/>
  <cols>
    <col min="1" max="1" width="11.59765625" style="2016" hidden="1" customWidth="1"/>
    <col min="2" max="2" width="11" style="2016" hidden="1" customWidth="1"/>
    <col min="3" max="3" width="10.59765625" style="2016" hidden="1"/>
    <col min="4" max="4" width="12.796875" style="2016" hidden="1" customWidth="1"/>
    <col min="5" max="5" width="10" style="2016" hidden="1" customWidth="1"/>
    <col min="6" max="6" width="8.69921875" style="2016" hidden="1" customWidth="1"/>
    <col min="7" max="7" width="7.59765625" style="2016" hidden="1" customWidth="1"/>
    <col min="8" max="8" width="11.3984375" style="2016" hidden="1" customWidth="1"/>
    <col min="9" max="9" width="12" style="2016" hidden="1" customWidth="1"/>
    <col min="10" max="10" width="9.796875" style="2016" hidden="1" customWidth="1"/>
    <col min="11" max="11" width="11.3984375" style="2016" hidden="1" customWidth="1"/>
    <col min="12" max="12" width="19.09765625" style="2216" hidden="1" customWidth="1"/>
    <col min="13" max="14" width="12.296875" style="2006" hidden="1" customWidth="1"/>
    <col min="15" max="15" width="23.3984375" style="2006" hidden="1" customWidth="1"/>
    <col min="16" max="16" width="3.69921875" style="2006" hidden="1" customWidth="1"/>
    <col min="17" max="17" width="3.69921875" style="2214" hidden="1" customWidth="1"/>
    <col min="18" max="18" width="3" style="2215" customWidth="1"/>
    <col min="19" max="19" width="12" style="2218" customWidth="1"/>
    <col min="20" max="20" width="31" style="2004" customWidth="1"/>
    <col min="21" max="21" width="9.765625E-2" style="2004" customWidth="1"/>
    <col min="22" max="25" width="21.69921875" style="2004" hidden="1" customWidth="1"/>
    <col min="26" max="26" width="11.69921875" style="2004" hidden="1" customWidth="1"/>
    <col min="27" max="27" width="3.69921875" style="2004" hidden="1" customWidth="1"/>
    <col min="28" max="28" width="11.69921875" style="2004" hidden="1" customWidth="1"/>
    <col min="29" max="29" width="8.59765625" style="2004" hidden="1" customWidth="1"/>
    <col min="30" max="30" width="3.69921875" style="2004" customWidth="1"/>
    <col min="31" max="32" width="3" style="2004" customWidth="1"/>
    <col min="33" max="33" width="24" style="2004" customWidth="1"/>
    <col min="34" max="34" width="3.69921875" style="2004" customWidth="1"/>
    <col min="35" max="36" width="3" style="2004" customWidth="1"/>
    <col min="37" max="37" width="24" style="2004" customWidth="1"/>
    <col min="38" max="38" width="3.69921875" style="2004" customWidth="1"/>
    <col min="39" max="40" width="3" style="2004" customWidth="1"/>
    <col min="41" max="41" width="18" style="2004" customWidth="1"/>
    <col min="42" max="42" width="3.69921875" style="2004" customWidth="1"/>
    <col min="43" max="44" width="3" style="2004" customWidth="1"/>
    <col min="45" max="45" width="18" style="2004" customWidth="1"/>
    <col min="46" max="49" width="21" style="2004" customWidth="1"/>
    <col min="50" max="50" width="11" style="2004" customWidth="1"/>
    <col min="51" max="51" width="3.69921875" style="2004" customWidth="1"/>
    <col min="52" max="52" width="11" style="2004" customWidth="1"/>
    <col min="53" max="53" width="8.59765625" style="2004" hidden="1" customWidth="1"/>
    <col min="54" max="54" width="4" style="2004" customWidth="1"/>
    <col min="55" max="55" width="115" style="2004" customWidth="1"/>
    <col min="56" max="60" width="10" style="2017" customWidth="1"/>
    <col min="61" max="61" width="10.59765625" style="2004" hidden="1"/>
  </cols>
  <sheetData>
    <row r="1" spans="1:61" ht="22.5" hidden="1" customHeight="1">
      <c r="W1" s="262"/>
      <c r="Y1" s="262"/>
      <c r="Z1" s="262"/>
      <c r="AW1" s="262"/>
      <c r="AX1" s="262"/>
      <c r="BI1" s="1072" t="s">
        <v>14</v>
      </c>
    </row>
    <row r="2" spans="1:61" ht="21" hidden="1" customHeight="1">
      <c r="A2" s="1280"/>
      <c r="B2" s="1280"/>
      <c r="C2" s="1280"/>
      <c r="D2" s="1280"/>
      <c r="E2" s="3199">
        <v>1</v>
      </c>
      <c r="F2" s="1280"/>
      <c r="G2" s="1280"/>
      <c r="H2" s="1280"/>
      <c r="I2" s="1280"/>
      <c r="J2" s="1280"/>
      <c r="K2" s="1280"/>
      <c r="L2" s="1281"/>
      <c r="M2" s="1282"/>
      <c r="N2" s="1282"/>
      <c r="O2" s="1282"/>
      <c r="P2" s="1326"/>
      <c r="Q2" s="797"/>
      <c r="R2" s="289"/>
      <c r="S2" s="1410" t="e">
        <f>INDEX(PT_DIFFERENTIATION_NUM_NTAR,MATCH(A2,PT_DIFFERENTIATION_NTAR_ID,0))</f>
        <v>#N/A</v>
      </c>
      <c r="T2" s="233" t="s">
        <v>137</v>
      </c>
      <c r="U2" s="235"/>
      <c r="V2" s="3186"/>
      <c r="W2" s="3186"/>
      <c r="X2" s="3186"/>
      <c r="Y2" s="3186"/>
      <c r="Z2" s="3186"/>
      <c r="AA2" s="3186"/>
      <c r="AB2" s="3186"/>
      <c r="AC2" s="3187"/>
      <c r="AD2" s="3185" t="e">
        <f>INDEX(PT_DIFFERENTIATION_NTAR,MATCH(A2,PT_DIFFERENTIATION_NTAR_ID,0))</f>
        <v>#N/A</v>
      </c>
      <c r="AE2" s="3186"/>
      <c r="AF2" s="3186"/>
      <c r="AG2" s="3186"/>
      <c r="AH2" s="3186"/>
      <c r="AI2" s="3186"/>
      <c r="AJ2" s="3186"/>
      <c r="AK2" s="3186"/>
      <c r="AL2" s="3186"/>
      <c r="AM2" s="3186"/>
      <c r="AN2" s="3186"/>
      <c r="AO2" s="3186"/>
      <c r="AP2" s="3186"/>
      <c r="AQ2" s="3186"/>
      <c r="AR2" s="3186"/>
      <c r="AS2" s="3186"/>
      <c r="AT2" s="3186"/>
      <c r="AU2" s="3186"/>
      <c r="AV2" s="3186"/>
      <c r="AW2" s="3186"/>
      <c r="AX2" s="3186"/>
      <c r="AY2" s="3186"/>
      <c r="AZ2" s="3186"/>
      <c r="BA2" s="3186"/>
      <c r="BB2" s="3187"/>
      <c r="BC2"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4"/>
      <c r="BF2" s="434" t="str">
        <f t="shared" ref="BF2:BF8" si="0">IF(T2="","",T2)</f>
        <v>Наименование тарифа</v>
      </c>
      <c r="BG2" s="434"/>
      <c r="BH2" s="434"/>
      <c r="BI2" s="1072">
        <v>0</v>
      </c>
    </row>
    <row r="3" spans="1:61" ht="21" hidden="1" customHeight="1">
      <c r="A3" s="1280"/>
      <c r="B3" s="1280"/>
      <c r="C3" s="1280"/>
      <c r="D3" s="1280"/>
      <c r="E3" s="3200"/>
      <c r="F3" s="3199">
        <v>1</v>
      </c>
      <c r="G3" s="1280"/>
      <c r="H3" s="1280"/>
      <c r="I3" s="1280"/>
      <c r="J3" s="1280"/>
      <c r="K3" s="1280"/>
      <c r="L3" s="1281"/>
      <c r="M3" s="1282"/>
      <c r="N3" s="1282"/>
      <c r="O3" s="1282"/>
      <c r="P3" s="1327"/>
      <c r="Q3" s="1328"/>
      <c r="R3" s="287"/>
      <c r="S3" s="1410" t="e">
        <f>INDEX(PT_DIFFERENTIATION_NUM_TER,MATCH(B3,PT_DIFFERENTIATION_TER_ID,0))</f>
        <v>#N/A</v>
      </c>
      <c r="T3" s="243" t="s">
        <v>432</v>
      </c>
      <c r="U3" s="235"/>
      <c r="V3" s="3186"/>
      <c r="W3" s="3186"/>
      <c r="X3" s="3186"/>
      <c r="Y3" s="3186"/>
      <c r="Z3" s="3186"/>
      <c r="AA3" s="3186"/>
      <c r="AB3" s="3186"/>
      <c r="AC3" s="3187"/>
      <c r="AD3" s="3185" t="e">
        <f>INDEX(PT_DIFFERENTIATION_TER,MATCH(B3,PT_DIFFERENTIATION_TER_ID,0))</f>
        <v>#N/A</v>
      </c>
      <c r="AE3" s="3186"/>
      <c r="AF3" s="3186"/>
      <c r="AG3" s="3186"/>
      <c r="AH3" s="3186"/>
      <c r="AI3" s="3186"/>
      <c r="AJ3" s="3186"/>
      <c r="AK3" s="3186"/>
      <c r="AL3" s="3186"/>
      <c r="AM3" s="3186"/>
      <c r="AN3" s="3186"/>
      <c r="AO3" s="3186"/>
      <c r="AP3" s="3186"/>
      <c r="AQ3" s="3186"/>
      <c r="AR3" s="3186"/>
      <c r="AS3" s="3186"/>
      <c r="AT3" s="3186"/>
      <c r="AU3" s="3186"/>
      <c r="AV3" s="3186"/>
      <c r="AW3" s="3186"/>
      <c r="AX3" s="3186"/>
      <c r="AY3" s="3186"/>
      <c r="AZ3" s="3186"/>
      <c r="BA3" s="3186"/>
      <c r="BB3" s="3187"/>
      <c r="BC3" s="1175" t="s">
        <v>433</v>
      </c>
      <c r="BE3" s="434"/>
      <c r="BF3" s="434" t="str">
        <f t="shared" si="0"/>
        <v>Территория действия тарифа</v>
      </c>
      <c r="BG3" s="434"/>
      <c r="BH3" s="434"/>
      <c r="BI3" s="1072">
        <v>0</v>
      </c>
    </row>
    <row r="4" spans="1:61" ht="33.75" hidden="1" customHeight="1">
      <c r="A4" s="1280"/>
      <c r="B4" s="1280"/>
      <c r="C4" s="1280"/>
      <c r="D4" s="1280"/>
      <c r="E4" s="3200"/>
      <c r="F4" s="3200"/>
      <c r="G4" s="3199">
        <v>1</v>
      </c>
      <c r="H4" s="1280"/>
      <c r="I4" s="1280"/>
      <c r="J4" s="1280"/>
      <c r="K4" s="1280"/>
      <c r="L4" s="1281"/>
      <c r="M4" s="1282"/>
      <c r="N4" s="1282"/>
      <c r="O4" s="1282"/>
      <c r="P4" s="1329"/>
      <c r="Q4" s="1328"/>
      <c r="R4" s="287"/>
      <c r="S4" s="1410" t="e">
        <f>INDEX(PT_DIFFERENTIATION_NUM_CS,MATCH(C4,PT_DIFFERENTIATION_CS_ID,0))</f>
        <v>#N/A</v>
      </c>
      <c r="T4" s="244" t="s">
        <v>563</v>
      </c>
      <c r="U4" s="235"/>
      <c r="V4" s="3186"/>
      <c r="W4" s="3186"/>
      <c r="X4" s="3186"/>
      <c r="Y4" s="3186"/>
      <c r="Z4" s="3186"/>
      <c r="AA4" s="3186"/>
      <c r="AB4" s="3186"/>
      <c r="AC4" s="3187"/>
      <c r="AD4" s="3185" t="e">
        <f>INDEX(PT_DIFFERENTIATION_CS,MATCH(C4,PT_DIFFERENTIATION_CS_ID,0))</f>
        <v>#N/A</v>
      </c>
      <c r="AE4" s="3186"/>
      <c r="AF4" s="3186"/>
      <c r="AG4" s="3186"/>
      <c r="AH4" s="3186"/>
      <c r="AI4" s="3186"/>
      <c r="AJ4" s="3186"/>
      <c r="AK4" s="3186"/>
      <c r="AL4" s="3186"/>
      <c r="AM4" s="3186"/>
      <c r="AN4" s="3186"/>
      <c r="AO4" s="3186"/>
      <c r="AP4" s="3186"/>
      <c r="AQ4" s="3186"/>
      <c r="AR4" s="3186"/>
      <c r="AS4" s="3186"/>
      <c r="AT4" s="3186"/>
      <c r="AU4" s="3186"/>
      <c r="AV4" s="3186"/>
      <c r="AW4" s="3186"/>
      <c r="AX4" s="3186"/>
      <c r="AY4" s="3186"/>
      <c r="AZ4" s="3186"/>
      <c r="BA4" s="3186"/>
      <c r="BB4" s="3187"/>
      <c r="BC4" s="1175" t="s">
        <v>564</v>
      </c>
      <c r="BE4" s="434"/>
      <c r="BF4" s="434" t="str">
        <f t="shared" si="0"/>
        <v>Наименование централизованной системы горячего водоснабжения</v>
      </c>
      <c r="BG4" s="434"/>
      <c r="BH4" s="434"/>
      <c r="BI4" s="1072">
        <v>0</v>
      </c>
    </row>
    <row r="5" spans="1:61" s="2017" customFormat="1" ht="14.25" hidden="1" customHeight="1">
      <c r="A5" s="1260"/>
      <c r="B5" s="1260"/>
      <c r="C5" s="1260"/>
      <c r="D5" s="1260"/>
      <c r="E5" s="3200"/>
      <c r="F5" s="3200"/>
      <c r="G5" s="3200"/>
      <c r="H5" s="3199">
        <v>1</v>
      </c>
      <c r="I5" s="1260"/>
      <c r="J5" s="1260"/>
      <c r="K5" s="1260"/>
      <c r="L5" s="1263"/>
      <c r="M5" s="1232"/>
      <c r="N5" s="1232"/>
      <c r="O5" s="1232"/>
      <c r="P5" s="1414"/>
      <c r="Q5" s="1415"/>
      <c r="R5" s="291"/>
      <c r="S5" s="963"/>
      <c r="T5" s="1416"/>
      <c r="U5" s="1301"/>
      <c r="V5" s="3229"/>
      <c r="W5" s="3229"/>
      <c r="X5" s="3229"/>
      <c r="Y5" s="3229"/>
      <c r="Z5" s="3229"/>
      <c r="AA5" s="3229"/>
      <c r="AB5" s="3229"/>
      <c r="AC5" s="3230"/>
      <c r="AD5" s="3228"/>
      <c r="AE5" s="3229"/>
      <c r="AF5" s="3229"/>
      <c r="AG5" s="3229"/>
      <c r="AH5" s="3229"/>
      <c r="AI5" s="3229"/>
      <c r="AJ5" s="3229"/>
      <c r="AK5" s="3229"/>
      <c r="AL5" s="3229"/>
      <c r="AM5" s="3229"/>
      <c r="AN5" s="3229"/>
      <c r="AO5" s="3229"/>
      <c r="AP5" s="3229"/>
      <c r="AQ5" s="3229"/>
      <c r="AR5" s="3229"/>
      <c r="AS5" s="3229"/>
      <c r="AT5" s="3229"/>
      <c r="AU5" s="3229"/>
      <c r="AV5" s="3229"/>
      <c r="AW5" s="3229"/>
      <c r="AX5" s="3229"/>
      <c r="AY5" s="3229"/>
      <c r="AZ5" s="3229"/>
      <c r="BA5" s="3229"/>
      <c r="BB5" s="3230"/>
      <c r="BC5" s="1302" t="s">
        <v>437</v>
      </c>
      <c r="BE5" s="434"/>
      <c r="BF5" s="434" t="str">
        <f t="shared" si="0"/>
        <v/>
      </c>
      <c r="BG5" s="434"/>
      <c r="BH5" s="434"/>
      <c r="BI5" s="445">
        <v>0</v>
      </c>
    </row>
    <row r="6" spans="1:61" s="2017" customFormat="1" ht="14.25" hidden="1" customHeight="1">
      <c r="A6" s="1260"/>
      <c r="B6" s="1260"/>
      <c r="C6" s="1260"/>
      <c r="D6" s="1260"/>
      <c r="E6" s="3200"/>
      <c r="F6" s="3200"/>
      <c r="G6" s="3200"/>
      <c r="H6" s="3200"/>
      <c r="I6" s="3197" t="str">
        <f>S5&amp;".1"</f>
        <v>.1</v>
      </c>
      <c r="J6" s="1260"/>
      <c r="K6" s="1260"/>
      <c r="L6" s="1263" t="s">
        <v>438</v>
      </c>
      <c r="M6" s="444"/>
      <c r="N6" s="444"/>
      <c r="O6" s="444"/>
      <c r="P6" s="3198">
        <v>1</v>
      </c>
      <c r="Q6" s="1398"/>
      <c r="R6" s="290"/>
      <c r="S6" s="963"/>
      <c r="T6" s="1300"/>
      <c r="U6" s="1301"/>
      <c r="V6" s="3229"/>
      <c r="W6" s="3229"/>
      <c r="X6" s="3229"/>
      <c r="Y6" s="3229"/>
      <c r="Z6" s="3229"/>
      <c r="AA6" s="3229"/>
      <c r="AB6" s="3229"/>
      <c r="AC6" s="3230"/>
      <c r="AD6" s="3228"/>
      <c r="AE6" s="3229"/>
      <c r="AF6" s="3229"/>
      <c r="AG6" s="3229"/>
      <c r="AH6" s="3229"/>
      <c r="AI6" s="3229"/>
      <c r="AJ6" s="3229"/>
      <c r="AK6" s="3229"/>
      <c r="AL6" s="3229"/>
      <c r="AM6" s="3229"/>
      <c r="AN6" s="3229"/>
      <c r="AO6" s="3229"/>
      <c r="AP6" s="3229"/>
      <c r="AQ6" s="3229"/>
      <c r="AR6" s="3229"/>
      <c r="AS6" s="3229"/>
      <c r="AT6" s="3229"/>
      <c r="AU6" s="3229"/>
      <c r="AV6" s="3229"/>
      <c r="AW6" s="3229"/>
      <c r="AX6" s="3229"/>
      <c r="AY6" s="3229"/>
      <c r="AZ6" s="3229"/>
      <c r="BA6" s="3229"/>
      <c r="BB6" s="3230"/>
      <c r="BC6" s="1302"/>
      <c r="BE6" s="434"/>
      <c r="BF6" s="434" t="str">
        <f t="shared" si="0"/>
        <v/>
      </c>
      <c r="BG6" s="434"/>
      <c r="BH6" s="434"/>
      <c r="BI6" s="445">
        <v>0</v>
      </c>
    </row>
    <row r="7" spans="1:61" s="2017" customFormat="1" ht="14.25" hidden="1" customHeight="1">
      <c r="A7" s="1260"/>
      <c r="B7" s="1260"/>
      <c r="C7" s="1260"/>
      <c r="D7" s="1260"/>
      <c r="E7" s="3200"/>
      <c r="F7" s="3200"/>
      <c r="G7" s="3200"/>
      <c r="H7" s="3200"/>
      <c r="I7" s="3220"/>
      <c r="J7" s="3197" t="str">
        <f>S5&amp;".1"</f>
        <v>.1</v>
      </c>
      <c r="K7" s="1260"/>
      <c r="L7" s="1263"/>
      <c r="M7" s="444"/>
      <c r="N7" s="444"/>
      <c r="O7" s="444"/>
      <c r="P7" s="3198"/>
      <c r="Q7" s="3198">
        <v>1</v>
      </c>
      <c r="R7" s="291"/>
      <c r="S7" s="963"/>
      <c r="T7" s="1316"/>
      <c r="U7" s="1301"/>
      <c r="V7" s="3229"/>
      <c r="W7" s="3229"/>
      <c r="X7" s="3229"/>
      <c r="Y7" s="3229"/>
      <c r="Z7" s="3229"/>
      <c r="AA7" s="3229"/>
      <c r="AB7" s="3229"/>
      <c r="AC7" s="3230"/>
      <c r="AD7" s="3228"/>
      <c r="AE7" s="3229"/>
      <c r="AF7" s="3229"/>
      <c r="AG7" s="3229"/>
      <c r="AH7" s="3229"/>
      <c r="AI7" s="3229"/>
      <c r="AJ7" s="3229"/>
      <c r="AK7" s="3229"/>
      <c r="AL7" s="3229"/>
      <c r="AM7" s="3229"/>
      <c r="AN7" s="3229"/>
      <c r="AO7" s="3229"/>
      <c r="AP7" s="3229"/>
      <c r="AQ7" s="3229"/>
      <c r="AR7" s="3229"/>
      <c r="AS7" s="3229"/>
      <c r="AT7" s="3229"/>
      <c r="AU7" s="3229"/>
      <c r="AV7" s="3229"/>
      <c r="AW7" s="3229"/>
      <c r="AX7" s="3229"/>
      <c r="AY7" s="3229"/>
      <c r="AZ7" s="3229"/>
      <c r="BA7" s="3229"/>
      <c r="BB7" s="3230"/>
      <c r="BC7" s="1302"/>
      <c r="BE7" s="434"/>
      <c r="BF7" s="434" t="str">
        <f t="shared" si="0"/>
        <v/>
      </c>
      <c r="BG7" s="434"/>
      <c r="BH7" s="434"/>
      <c r="BI7" s="445">
        <v>0</v>
      </c>
    </row>
    <row r="8" spans="1:61" ht="11.25" hidden="1" customHeight="1">
      <c r="A8" s="1280"/>
      <c r="B8" s="1280"/>
      <c r="C8" s="1280"/>
      <c r="D8" s="1280"/>
      <c r="E8" s="3200"/>
      <c r="F8" s="3200"/>
      <c r="G8" s="3200"/>
      <c r="H8" s="3200"/>
      <c r="I8" s="3220"/>
      <c r="J8" s="3220"/>
      <c r="K8" s="3197" t="e">
        <f>S4&amp;".1"</f>
        <v>#N/A</v>
      </c>
      <c r="L8" s="1281"/>
      <c r="P8" s="3198"/>
      <c r="Q8" s="3198"/>
      <c r="R8" s="3263">
        <v>1</v>
      </c>
      <c r="S8" s="3257" t="e">
        <f>$K8</f>
        <v>#N/A</v>
      </c>
      <c r="T8" s="3276"/>
      <c r="U8" s="235"/>
      <c r="V8" s="685"/>
      <c r="W8" s="1174"/>
      <c r="X8" s="685"/>
      <c r="Y8" s="1174"/>
      <c r="Z8" s="1650"/>
      <c r="AA8" s="1386" t="s">
        <v>67</v>
      </c>
      <c r="AB8" s="1650"/>
      <c r="AC8" s="1386" t="s">
        <v>67</v>
      </c>
      <c r="AD8" s="3078" t="s">
        <v>67</v>
      </c>
      <c r="AE8" s="3242"/>
      <c r="AF8" s="3155">
        <v>1</v>
      </c>
      <c r="AG8" s="3279"/>
      <c r="AH8" s="3048" t="s">
        <v>67</v>
      </c>
      <c r="AI8" s="3242"/>
      <c r="AJ8" s="3155">
        <v>1</v>
      </c>
      <c r="AK8" s="3243" t="s">
        <v>28</v>
      </c>
      <c r="AL8" s="3048" t="s">
        <v>67</v>
      </c>
      <c r="AM8" s="3145"/>
      <c r="AN8" s="3155">
        <v>1</v>
      </c>
      <c r="AO8" s="3273"/>
      <c r="AP8" s="3274" t="s">
        <v>67</v>
      </c>
      <c r="AQ8" s="246"/>
      <c r="AR8" s="1403">
        <v>1</v>
      </c>
      <c r="AS8" s="1409" t="s">
        <v>28</v>
      </c>
      <c r="AT8" s="685"/>
      <c r="AU8" s="1174"/>
      <c r="AV8" s="685"/>
      <c r="AW8" s="1174"/>
      <c r="AX8" s="1650"/>
      <c r="AY8" s="1386" t="s">
        <v>67</v>
      </c>
      <c r="AZ8" s="1650"/>
      <c r="BA8" s="1386" t="s">
        <v>67</v>
      </c>
      <c r="BB8" s="1265"/>
      <c r="BC8" s="3194" t="s">
        <v>534</v>
      </c>
      <c r="BE8" s="434"/>
      <c r="BF8" s="434" t="str">
        <f t="shared" si="0"/>
        <v/>
      </c>
      <c r="BG8" s="434"/>
      <c r="BH8" s="434"/>
      <c r="BI8" s="1072">
        <v>0</v>
      </c>
    </row>
    <row r="9" spans="1:61" ht="11.25" hidden="1" customHeight="1">
      <c r="A9" s="1280"/>
      <c r="B9" s="1280"/>
      <c r="C9" s="1280"/>
      <c r="D9" s="1280"/>
      <c r="E9" s="3200"/>
      <c r="F9" s="3200"/>
      <c r="G9" s="3200"/>
      <c r="H9" s="3200"/>
      <c r="I9" s="3220"/>
      <c r="J9" s="3220"/>
      <c r="K9" s="3197"/>
      <c r="L9" s="1281"/>
      <c r="P9" s="3198"/>
      <c r="Q9" s="3198"/>
      <c r="R9" s="3263"/>
      <c r="S9" s="3258"/>
      <c r="T9" s="3277"/>
      <c r="U9" s="235"/>
      <c r="V9" s="1310"/>
      <c r="W9" s="1413"/>
      <c r="X9" s="1310"/>
      <c r="Y9" s="1413"/>
      <c r="Z9" s="1310"/>
      <c r="AA9" s="1310"/>
      <c r="AB9" s="1310"/>
      <c r="AC9" s="1310"/>
      <c r="AD9" s="3079"/>
      <c r="AE9" s="3242"/>
      <c r="AF9" s="3155"/>
      <c r="AG9" s="3279"/>
      <c r="AH9" s="3048"/>
      <c r="AI9" s="3242"/>
      <c r="AJ9" s="3155"/>
      <c r="AK9" s="3243"/>
      <c r="AL9" s="3048"/>
      <c r="AM9" s="3150"/>
      <c r="AN9" s="3155"/>
      <c r="AO9" s="3273"/>
      <c r="AP9" s="3275"/>
      <c r="AQ9" s="251"/>
      <c r="AR9" s="350"/>
      <c r="AS9" s="350" t="s">
        <v>535</v>
      </c>
      <c r="AT9" s="1310"/>
      <c r="AU9" s="1413"/>
      <c r="AV9" s="1310"/>
      <c r="AW9" s="1413"/>
      <c r="AX9" s="1310"/>
      <c r="AY9" s="1310"/>
      <c r="AZ9" s="1310"/>
      <c r="BA9" s="1310"/>
      <c r="BB9" s="1314"/>
      <c r="BC9" s="3195"/>
      <c r="BE9" s="434"/>
      <c r="BF9" s="434"/>
      <c r="BG9" s="434"/>
      <c r="BH9" s="434"/>
      <c r="BI9" s="1072">
        <v>0</v>
      </c>
    </row>
    <row r="10" spans="1:61" ht="11.25" hidden="1" customHeight="1">
      <c r="A10" s="1280"/>
      <c r="B10" s="1280"/>
      <c r="C10" s="1280"/>
      <c r="D10" s="1280"/>
      <c r="E10" s="3200"/>
      <c r="F10" s="3200"/>
      <c r="G10" s="3200"/>
      <c r="H10" s="3200"/>
      <c r="I10" s="3220"/>
      <c r="J10" s="3220"/>
      <c r="K10" s="3197"/>
      <c r="L10" s="1281"/>
      <c r="P10" s="3198"/>
      <c r="Q10" s="3198"/>
      <c r="R10" s="3263"/>
      <c r="S10" s="3258"/>
      <c r="T10" s="3277"/>
      <c r="U10" s="235"/>
      <c r="V10" s="1310"/>
      <c r="W10" s="1413"/>
      <c r="X10" s="1310"/>
      <c r="Y10" s="1413"/>
      <c r="Z10" s="1310"/>
      <c r="AA10" s="1310"/>
      <c r="AB10" s="1310"/>
      <c r="AC10" s="1310"/>
      <c r="AD10" s="3079"/>
      <c r="AE10" s="3242"/>
      <c r="AF10" s="3155"/>
      <c r="AG10" s="3279"/>
      <c r="AH10" s="3048"/>
      <c r="AI10" s="3242"/>
      <c r="AJ10" s="3155"/>
      <c r="AK10" s="3243"/>
      <c r="AL10" s="3048"/>
      <c r="AM10" s="251"/>
      <c r="AN10" s="1417"/>
      <c r="AO10" s="1417" t="s">
        <v>536</v>
      </c>
      <c r="AP10" s="350"/>
      <c r="AQ10" s="350"/>
      <c r="AR10" s="350"/>
      <c r="AS10" s="1310"/>
      <c r="AT10" s="1310"/>
      <c r="AU10" s="1413"/>
      <c r="AV10" s="1310"/>
      <c r="AW10" s="1413"/>
      <c r="AX10" s="1310"/>
      <c r="AY10" s="1310"/>
      <c r="AZ10" s="1310"/>
      <c r="BA10" s="1310"/>
      <c r="BB10" s="1314"/>
      <c r="BC10" s="3195"/>
      <c r="BE10" s="434"/>
      <c r="BF10" s="434"/>
      <c r="BG10" s="434"/>
      <c r="BH10" s="434"/>
      <c r="BI10" s="1072">
        <v>0</v>
      </c>
    </row>
    <row r="11" spans="1:61" ht="11.25" hidden="1" customHeight="1">
      <c r="A11" s="1280"/>
      <c r="B11" s="1280"/>
      <c r="C11" s="1280"/>
      <c r="D11" s="1280"/>
      <c r="E11" s="3200"/>
      <c r="F11" s="3200"/>
      <c r="G11" s="3200"/>
      <c r="H11" s="3200"/>
      <c r="I11" s="3220"/>
      <c r="J11" s="3220"/>
      <c r="K11" s="3197"/>
      <c r="L11" s="1281"/>
      <c r="P11" s="3198"/>
      <c r="Q11" s="3198"/>
      <c r="R11" s="3263"/>
      <c r="S11" s="3258"/>
      <c r="T11" s="3277"/>
      <c r="U11" s="235"/>
      <c r="V11" s="1310"/>
      <c r="W11" s="1413"/>
      <c r="X11" s="1310"/>
      <c r="Y11" s="1413"/>
      <c r="Z11" s="1310"/>
      <c r="AA11" s="1310"/>
      <c r="AB11" s="1310"/>
      <c r="AC11" s="1310"/>
      <c r="AD11" s="3079"/>
      <c r="AE11" s="3242"/>
      <c r="AF11" s="3155"/>
      <c r="AG11" s="3279"/>
      <c r="AH11" s="3048"/>
      <c r="AI11" s="229"/>
      <c r="AJ11" s="349"/>
      <c r="AK11" s="248" t="s">
        <v>537</v>
      </c>
      <c r="AL11" s="1310"/>
      <c r="AM11" s="1310"/>
      <c r="AN11" s="1310"/>
      <c r="AO11" s="1310"/>
      <c r="AP11" s="1310"/>
      <c r="AQ11" s="1310"/>
      <c r="AR11" s="1310"/>
      <c r="AS11" s="1310"/>
      <c r="AT11" s="1310"/>
      <c r="AU11" s="1413"/>
      <c r="AV11" s="1310"/>
      <c r="AW11" s="1413"/>
      <c r="AX11" s="1310"/>
      <c r="AY11" s="1310"/>
      <c r="AZ11" s="1310"/>
      <c r="BA11" s="1310"/>
      <c r="BB11" s="1314"/>
      <c r="BC11" s="3195"/>
      <c r="BE11" s="434"/>
      <c r="BF11" s="434"/>
      <c r="BG11" s="434"/>
      <c r="BH11" s="434"/>
      <c r="BI11" s="1072">
        <v>0</v>
      </c>
    </row>
    <row r="12" spans="1:61" ht="11.25" hidden="1" customHeight="1">
      <c r="A12" s="1280"/>
      <c r="B12" s="1280"/>
      <c r="C12" s="1280"/>
      <c r="D12" s="1280"/>
      <c r="E12" s="3200"/>
      <c r="F12" s="3200"/>
      <c r="G12" s="3200"/>
      <c r="H12" s="3200"/>
      <c r="I12" s="3220"/>
      <c r="J12" s="3220"/>
      <c r="K12" s="3197"/>
      <c r="L12" s="1281"/>
      <c r="P12" s="3198"/>
      <c r="Q12" s="3198"/>
      <c r="R12" s="3263"/>
      <c r="S12" s="3259"/>
      <c r="T12" s="3278"/>
      <c r="U12" s="235"/>
      <c r="V12" s="1310"/>
      <c r="W12" s="1311" t="str">
        <f>Z8&amp;"-"&amp;AB8</f>
        <v>-</v>
      </c>
      <c r="X12" s="1310"/>
      <c r="Y12" s="1311" t="str">
        <f>AB8&amp;"-"&amp;AD8</f>
        <v>-да</v>
      </c>
      <c r="Z12" s="1310"/>
      <c r="AA12" s="1310"/>
      <c r="AB12" s="1310"/>
      <c r="AC12" s="1310"/>
      <c r="AD12" s="3053"/>
      <c r="AE12" s="247"/>
      <c r="AF12" s="249"/>
      <c r="AG12" s="350" t="s">
        <v>538</v>
      </c>
      <c r="AH12" s="1310"/>
      <c r="AI12" s="1310"/>
      <c r="AJ12" s="1310"/>
      <c r="AK12" s="1310"/>
      <c r="AL12" s="1310"/>
      <c r="AM12" s="1310"/>
      <c r="AN12" s="1310"/>
      <c r="AO12" s="1310"/>
      <c r="AP12" s="1310"/>
      <c r="AQ12" s="1310"/>
      <c r="AR12" s="1310"/>
      <c r="AS12" s="1310"/>
      <c r="AT12" s="1310"/>
      <c r="AU12" s="1311" t="str">
        <f>AX8&amp;"-"&amp;AZ8</f>
        <v>-</v>
      </c>
      <c r="AV12" s="1310"/>
      <c r="AW12" s="1311" t="str">
        <f>AZ8&amp;"-"&amp;BB8</f>
        <v>-</v>
      </c>
      <c r="AX12" s="1310"/>
      <c r="AY12" s="1310"/>
      <c r="AZ12" s="1310"/>
      <c r="BA12" s="1310"/>
      <c r="BB12" s="1313" t="str">
        <f>BE8&amp;"-"&amp;BG8</f>
        <v>-</v>
      </c>
      <c r="BC12" s="3195"/>
      <c r="BE12" s="434"/>
      <c r="BF12" s="434" t="str">
        <f t="shared" ref="BF12:BF18" si="1">IF(T12="","",T12)</f>
        <v/>
      </c>
      <c r="BG12" s="434"/>
      <c r="BH12" s="434"/>
      <c r="BI12" s="1072">
        <v>0</v>
      </c>
    </row>
    <row r="13" spans="1:61" ht="11.25" hidden="1" customHeight="1">
      <c r="A13" s="1280"/>
      <c r="B13" s="1280"/>
      <c r="C13" s="1280"/>
      <c r="D13" s="1280"/>
      <c r="E13" s="3200"/>
      <c r="F13" s="3200"/>
      <c r="G13" s="3200"/>
      <c r="H13" s="3200"/>
      <c r="I13" s="3220"/>
      <c r="J13" s="3197"/>
      <c r="K13" s="1280"/>
      <c r="L13" s="1281"/>
      <c r="P13" s="3198"/>
      <c r="Q13" s="3198"/>
      <c r="R13" s="290"/>
      <c r="S13" s="1195"/>
      <c r="T13" s="222" t="s">
        <v>501</v>
      </c>
      <c r="U13" s="301"/>
      <c r="V13" s="301"/>
      <c r="W13" s="301"/>
      <c r="X13" s="301"/>
      <c r="Y13" s="301"/>
      <c r="Z13" s="301"/>
      <c r="AA13" s="301"/>
      <c r="AB13" s="301"/>
      <c r="AC13" s="301"/>
      <c r="AD13" s="1422"/>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259"/>
      <c r="BC13" s="3196"/>
      <c r="BE13" s="434"/>
      <c r="BF13" s="434" t="str">
        <f t="shared" si="1"/>
        <v>Добавить строку</v>
      </c>
      <c r="BG13" s="434"/>
      <c r="BH13" s="434"/>
      <c r="BI13" s="1072">
        <v>0</v>
      </c>
    </row>
    <row r="14" spans="1:61" s="2017" customFormat="1" ht="14.25" hidden="1" customHeight="1">
      <c r="A14" s="1260"/>
      <c r="B14" s="1260"/>
      <c r="C14" s="1260"/>
      <c r="D14" s="1260"/>
      <c r="E14" s="3200"/>
      <c r="F14" s="3200"/>
      <c r="G14" s="3200"/>
      <c r="H14" s="3200"/>
      <c r="I14" s="3197"/>
      <c r="J14" s="1260"/>
      <c r="K14" s="1260"/>
      <c r="L14" s="1263"/>
      <c r="M14" s="444"/>
      <c r="N14" s="444"/>
      <c r="O14" s="444"/>
      <c r="P14" s="3198"/>
      <c r="Q14" s="1398"/>
      <c r="R14" s="290"/>
      <c r="S14" s="1303"/>
      <c r="T14" s="1304"/>
      <c r="U14" s="1305"/>
      <c r="V14" s="1305"/>
      <c r="W14" s="1305"/>
      <c r="X14" s="1305"/>
      <c r="Y14" s="1305"/>
      <c r="Z14" s="1305"/>
      <c r="AA14" s="1305"/>
      <c r="AB14" s="1305"/>
      <c r="AC14" s="1305"/>
      <c r="AD14" s="1305"/>
      <c r="AE14" s="1305"/>
      <c r="AF14" s="1305"/>
      <c r="AG14" s="1305"/>
      <c r="AH14" s="1305"/>
      <c r="AI14" s="1305"/>
      <c r="AJ14" s="1305"/>
      <c r="AK14" s="1305"/>
      <c r="AL14" s="1305"/>
      <c r="AM14" s="1305"/>
      <c r="AN14" s="1305"/>
      <c r="AO14" s="1305"/>
      <c r="AP14" s="1305"/>
      <c r="AQ14" s="1305"/>
      <c r="AR14" s="1305"/>
      <c r="AS14" s="1305"/>
      <c r="AT14" s="1305"/>
      <c r="AU14" s="1305"/>
      <c r="AV14" s="1305"/>
      <c r="AW14" s="1305"/>
      <c r="AX14" s="1305"/>
      <c r="AY14" s="1305"/>
      <c r="AZ14" s="1305"/>
      <c r="BA14" s="1305"/>
      <c r="BB14" s="1305"/>
      <c r="BC14" s="1306"/>
      <c r="BE14" s="434"/>
      <c r="BF14" s="434" t="str">
        <f t="shared" si="1"/>
        <v/>
      </c>
      <c r="BG14" s="434"/>
      <c r="BH14" s="434"/>
      <c r="BI14" s="445">
        <v>0</v>
      </c>
    </row>
    <row r="15" spans="1:61" s="2017" customFormat="1" ht="14.25" hidden="1" customHeight="1">
      <c r="A15" s="1260"/>
      <c r="B15" s="1260"/>
      <c r="C15" s="1260"/>
      <c r="D15" s="1260"/>
      <c r="E15" s="3200"/>
      <c r="F15" s="3200"/>
      <c r="G15" s="3200"/>
      <c r="H15" s="3199"/>
      <c r="I15" s="1260"/>
      <c r="J15" s="1260"/>
      <c r="K15" s="1260"/>
      <c r="L15" s="1263"/>
      <c r="M15" s="1232"/>
      <c r="N15" s="1232"/>
      <c r="O15" s="452"/>
      <c r="P15" s="314"/>
      <c r="Q15" s="1261"/>
      <c r="R15" s="1318"/>
      <c r="S15" s="1303"/>
      <c r="T15" s="1304"/>
      <c r="U15" s="1305"/>
      <c r="V15" s="1305"/>
      <c r="W15" s="1305"/>
      <c r="X15" s="1305"/>
      <c r="Y15" s="1305"/>
      <c r="Z15" s="1305"/>
      <c r="AA15" s="1305"/>
      <c r="AB15" s="1305"/>
      <c r="AC15" s="1305"/>
      <c r="AD15" s="1305"/>
      <c r="AE15" s="1305"/>
      <c r="AF15" s="1305"/>
      <c r="AG15" s="1305"/>
      <c r="AH15" s="1305"/>
      <c r="AI15" s="1305"/>
      <c r="AJ15" s="1305"/>
      <c r="AK15" s="1305"/>
      <c r="AL15" s="1305"/>
      <c r="AM15" s="1305"/>
      <c r="AN15" s="1305"/>
      <c r="AO15" s="1305"/>
      <c r="AP15" s="1305"/>
      <c r="AQ15" s="1305"/>
      <c r="AR15" s="1305"/>
      <c r="AS15" s="1305"/>
      <c r="AT15" s="1305"/>
      <c r="AU15" s="1305"/>
      <c r="AV15" s="1305"/>
      <c r="AW15" s="1305"/>
      <c r="AX15" s="1305"/>
      <c r="AY15" s="1305"/>
      <c r="AZ15" s="1305"/>
      <c r="BA15" s="1305"/>
      <c r="BB15" s="1305"/>
      <c r="BC15" s="1306"/>
      <c r="BE15" s="434"/>
      <c r="BF15" s="434" t="str">
        <f t="shared" si="1"/>
        <v/>
      </c>
      <c r="BG15" s="434"/>
      <c r="BH15" s="434"/>
      <c r="BI15" s="445">
        <v>0</v>
      </c>
    </row>
    <row r="16" spans="1:61" s="2017" customFormat="1" ht="14.25" hidden="1" customHeight="1">
      <c r="A16" s="1260"/>
      <c r="B16" s="1260"/>
      <c r="C16" s="1260"/>
      <c r="D16" s="1231"/>
      <c r="E16" s="3200"/>
      <c r="F16" s="3200"/>
      <c r="G16" s="3199"/>
      <c r="H16" s="1231"/>
      <c r="I16" s="1231"/>
      <c r="J16" s="1231"/>
      <c r="K16" s="1231"/>
      <c r="L16" s="1411"/>
      <c r="M16" s="1232"/>
      <c r="N16" s="1232"/>
      <c r="P16" s="1233"/>
      <c r="Q16" s="1234"/>
      <c r="R16" s="1233"/>
      <c r="S16" s="1239"/>
      <c r="T16" s="1242"/>
      <c r="U16" s="1241"/>
      <c r="V16" s="1241"/>
      <c r="W16" s="1241"/>
      <c r="X16" s="1241"/>
      <c r="Y16" s="1241"/>
      <c r="Z16" s="1241"/>
      <c r="AA16" s="1241"/>
      <c r="AB16" s="1241"/>
      <c r="AC16" s="1241"/>
      <c r="AD16" s="1241"/>
      <c r="AE16" s="1241"/>
      <c r="AF16" s="1241"/>
      <c r="AG16" s="1241"/>
      <c r="AH16" s="1241"/>
      <c r="AI16" s="1241"/>
      <c r="AJ16" s="1241"/>
      <c r="AK16" s="1241"/>
      <c r="AL16" s="1241"/>
      <c r="AM16" s="1241"/>
      <c r="AN16" s="1241"/>
      <c r="AO16" s="1241"/>
      <c r="AP16" s="1241"/>
      <c r="AQ16" s="1241"/>
      <c r="AR16" s="1241"/>
      <c r="AS16" s="1241"/>
      <c r="AT16" s="1241"/>
      <c r="AU16" s="1241"/>
      <c r="AV16" s="1241"/>
      <c r="AW16" s="1241"/>
      <c r="AX16" s="1241"/>
      <c r="AY16" s="1241"/>
      <c r="AZ16" s="1241"/>
      <c r="BA16" s="1241"/>
      <c r="BB16" s="1241"/>
      <c r="BC16" s="1241"/>
      <c r="BE16" s="717"/>
      <c r="BF16" s="717" t="str">
        <f t="shared" si="1"/>
        <v/>
      </c>
      <c r="BG16" s="717"/>
      <c r="BH16" s="717"/>
      <c r="BI16" s="452">
        <v>0</v>
      </c>
    </row>
    <row r="17" spans="1:61" s="2017" customFormat="1" ht="14.25" hidden="1" customHeight="1">
      <c r="A17" s="1260"/>
      <c r="B17" s="1260"/>
      <c r="C17" s="1231"/>
      <c r="D17" s="1231"/>
      <c r="E17" s="3200"/>
      <c r="F17" s="3199"/>
      <c r="G17" s="1231"/>
      <c r="H17" s="1231"/>
      <c r="I17" s="1231"/>
      <c r="J17" s="1231"/>
      <c r="K17" s="1231"/>
      <c r="L17" s="1411"/>
      <c r="M17" s="1238"/>
      <c r="N17" s="1238"/>
      <c r="P17" s="1233"/>
      <c r="Q17" s="1234"/>
      <c r="R17" s="1233"/>
      <c r="S17" s="1239"/>
      <c r="T17" s="1242" t="s">
        <v>181</v>
      </c>
      <c r="U17" s="1241"/>
      <c r="V17" s="1241"/>
      <c r="W17" s="1241"/>
      <c r="X17" s="1241"/>
      <c r="Y17" s="1241"/>
      <c r="Z17" s="1241"/>
      <c r="AA17" s="1241"/>
      <c r="AB17" s="1241"/>
      <c r="AC17" s="1241"/>
      <c r="AD17" s="1241"/>
      <c r="AE17" s="1241"/>
      <c r="AF17" s="1241"/>
      <c r="AG17" s="1241"/>
      <c r="AH17" s="1241"/>
      <c r="AI17" s="1241"/>
      <c r="AJ17" s="1241"/>
      <c r="AK17" s="1241"/>
      <c r="AL17" s="1241"/>
      <c r="AM17" s="1241"/>
      <c r="AN17" s="1241"/>
      <c r="AO17" s="1241"/>
      <c r="AP17" s="1241"/>
      <c r="AQ17" s="1241"/>
      <c r="AR17" s="1241"/>
      <c r="AS17" s="1241"/>
      <c r="AT17" s="1241"/>
      <c r="AU17" s="1241"/>
      <c r="AV17" s="1241"/>
      <c r="AW17" s="1241"/>
      <c r="AX17" s="1241"/>
      <c r="AY17" s="1241"/>
      <c r="AZ17" s="1241"/>
      <c r="BA17" s="1241"/>
      <c r="BB17" s="1241"/>
      <c r="BC17" s="1241"/>
      <c r="BE17" s="717"/>
      <c r="BF17" s="717" t="str">
        <f t="shared" si="1"/>
        <v>Добавить централизованную систему для дифференциации</v>
      </c>
      <c r="BG17" s="717"/>
      <c r="BH17" s="717"/>
      <c r="BI17" s="452">
        <v>0</v>
      </c>
    </row>
    <row r="18" spans="1:61" s="2017" customFormat="1" ht="14.25" hidden="1" customHeight="1">
      <c r="A18" s="1260"/>
      <c r="B18" s="1260"/>
      <c r="C18" s="1260"/>
      <c r="D18" s="1260"/>
      <c r="E18" s="3199"/>
      <c r="F18" s="1260"/>
      <c r="G18" s="1260"/>
      <c r="H18" s="1260"/>
      <c r="I18" s="1260"/>
      <c r="J18" s="1260"/>
      <c r="K18" s="1260"/>
      <c r="L18" s="1263"/>
      <c r="M18" s="1238"/>
      <c r="N18" s="1238"/>
      <c r="O18" s="452"/>
      <c r="P18" s="314"/>
      <c r="Q18" s="1261"/>
      <c r="R18" s="314"/>
      <c r="S18" s="1239"/>
      <c r="T18" s="1242" t="s">
        <v>188</v>
      </c>
      <c r="U18" s="1241"/>
      <c r="V18" s="1241"/>
      <c r="W18" s="1241"/>
      <c r="X18" s="1241"/>
      <c r="Y18" s="1241"/>
      <c r="Z18" s="1241"/>
      <c r="AA18" s="1241"/>
      <c r="AB18" s="1241"/>
      <c r="AC18" s="1241"/>
      <c r="AD18" s="1241"/>
      <c r="AE18" s="1241"/>
      <c r="AF18" s="1241"/>
      <c r="AG18" s="1241"/>
      <c r="AH18" s="1241"/>
      <c r="AI18" s="1241"/>
      <c r="AJ18" s="1241"/>
      <c r="AK18" s="1241"/>
      <c r="AL18" s="1241"/>
      <c r="AM18" s="1241"/>
      <c r="AN18" s="1241"/>
      <c r="AO18" s="1241"/>
      <c r="AP18" s="1241"/>
      <c r="AQ18" s="1241"/>
      <c r="AR18" s="1241"/>
      <c r="AS18" s="1241"/>
      <c r="AT18" s="1241"/>
      <c r="AU18" s="1241"/>
      <c r="AV18" s="1241"/>
      <c r="AW18" s="1241"/>
      <c r="AX18" s="1241"/>
      <c r="AY18" s="1241"/>
      <c r="AZ18" s="1241"/>
      <c r="BA18" s="1241"/>
      <c r="BB18" s="1241"/>
      <c r="BC18" s="1241"/>
      <c r="BE18" s="434"/>
      <c r="BF18" s="434" t="str">
        <f t="shared" si="1"/>
        <v>Добавить территорию для дифференциации</v>
      </c>
      <c r="BG18" s="434"/>
      <c r="BH18" s="434"/>
      <c r="BI18" s="445">
        <v>0</v>
      </c>
    </row>
    <row r="19" spans="1:61" ht="14.25" hidden="1" customHeight="1">
      <c r="AC19" s="262"/>
      <c r="BA19" s="262"/>
      <c r="BI19" s="1072">
        <v>0</v>
      </c>
    </row>
    <row r="20" spans="1:61" ht="14.25" hidden="1" customHeight="1">
      <c r="AD20" s="1241" t="s">
        <v>19</v>
      </c>
      <c r="AE20" s="1418"/>
      <c r="AF20" s="482">
        <v>1</v>
      </c>
      <c r="AG20" s="1419"/>
      <c r="AH20" s="1241" t="s">
        <v>19</v>
      </c>
      <c r="AI20" s="1418"/>
      <c r="AJ20" s="482">
        <v>1</v>
      </c>
      <c r="AK20" s="1419"/>
      <c r="AL20" s="1241" t="s">
        <v>19</v>
      </c>
      <c r="AM20" s="1420"/>
      <c r="AN20" s="482">
        <v>1</v>
      </c>
      <c r="AO20" s="1421"/>
      <c r="AP20" s="1241" t="s">
        <v>19</v>
      </c>
      <c r="AQ20" s="1420"/>
      <c r="AR20" s="482">
        <v>1</v>
      </c>
      <c r="AS20" s="1421"/>
      <c r="AT20" s="260"/>
      <c r="AU20" s="318"/>
      <c r="AV20" s="260"/>
      <c r="AW20" s="318"/>
      <c r="AX20" s="1652"/>
      <c r="AY20" s="1402" t="s">
        <v>67</v>
      </c>
      <c r="AZ20" s="1652"/>
      <c r="BA20" s="1402" t="s">
        <v>67</v>
      </c>
      <c r="BI20" s="1072">
        <v>0</v>
      </c>
    </row>
    <row r="21" spans="1:61" ht="14.25" hidden="1" customHeight="1">
      <c r="BD21" s="430"/>
      <c r="BE21" s="430"/>
      <c r="BF21" s="430"/>
      <c r="BG21" s="430"/>
      <c r="BH21" s="430"/>
      <c r="BI21" s="1072">
        <v>0</v>
      </c>
    </row>
    <row r="22" spans="1:61" ht="14.25" hidden="1" customHeight="1">
      <c r="O22" s="1284" t="s">
        <v>449</v>
      </c>
      <c r="Z22" s="1262"/>
      <c r="AB22" s="1262"/>
      <c r="AC22" s="262"/>
      <c r="AX22" s="1262"/>
      <c r="AZ22" s="1262"/>
      <c r="BA22" s="262"/>
      <c r="BD22" s="430"/>
      <c r="BE22" s="430"/>
      <c r="BF22" s="430"/>
      <c r="BG22" s="430"/>
      <c r="BH22" s="430"/>
      <c r="BI22" s="1072">
        <v>0</v>
      </c>
    </row>
    <row r="23" spans="1:61" ht="14.25" hidden="1" customHeight="1">
      <c r="AC23" s="262"/>
      <c r="BA23" s="262"/>
      <c r="BD23" s="430"/>
      <c r="BE23" s="430"/>
      <c r="BF23" s="430"/>
      <c r="BG23" s="430"/>
      <c r="BH23" s="430"/>
      <c r="BI23" s="1072">
        <v>0</v>
      </c>
    </row>
    <row r="24" spans="1:61" s="2981" customFormat="1" ht="14.25" hidden="1" customHeight="1">
      <c r="M24" s="1425"/>
      <c r="N24" s="1425"/>
      <c r="O24" s="1426" t="s">
        <v>450</v>
      </c>
      <c r="P24" s="1425"/>
      <c r="Q24" s="1427"/>
      <c r="R24" s="1427"/>
      <c r="AA24" s="1424" t="s">
        <v>452</v>
      </c>
      <c r="AC24" s="1424" t="s">
        <v>453</v>
      </c>
      <c r="AD24" s="1424" t="s">
        <v>502</v>
      </c>
      <c r="AH24" s="1424" t="s">
        <v>502</v>
      </c>
      <c r="AK24" s="1424" t="s">
        <v>539</v>
      </c>
      <c r="AL24" s="1424" t="s">
        <v>502</v>
      </c>
      <c r="AP24" s="1424" t="s">
        <v>502</v>
      </c>
      <c r="AY24" s="1424" t="s">
        <v>452</v>
      </c>
      <c r="BA24" s="1424" t="s">
        <v>453</v>
      </c>
      <c r="BD24" s="1428"/>
      <c r="BE24" s="1428"/>
      <c r="BF24" s="1428"/>
      <c r="BG24" s="1428"/>
      <c r="BH24" s="1428"/>
      <c r="BI24" s="1424">
        <v>0</v>
      </c>
    </row>
    <row r="25" spans="1:61" ht="14.25" hidden="1" customHeight="1">
      <c r="O25" s="1281"/>
      <c r="BD25" s="430"/>
      <c r="BE25" s="430"/>
      <c r="BF25" s="430"/>
      <c r="BG25" s="430"/>
      <c r="BH25" s="430"/>
      <c r="BI25" s="1072">
        <v>0</v>
      </c>
    </row>
    <row r="26" spans="1:61" ht="14.25" hidden="1" customHeight="1">
      <c r="O26" s="1281"/>
      <c r="BD26" s="430"/>
      <c r="BE26" s="430"/>
      <c r="BF26" s="430"/>
      <c r="BG26" s="430"/>
      <c r="BH26" s="430"/>
      <c r="BI26" s="1072">
        <v>0</v>
      </c>
    </row>
    <row r="27" spans="1:61" ht="14.65" customHeight="1">
      <c r="Q27" s="226"/>
      <c r="R27" s="310"/>
      <c r="S27" s="1192"/>
      <c r="T27" s="297"/>
      <c r="U27" s="297"/>
      <c r="V27" s="443"/>
      <c r="W27" s="443"/>
      <c r="X27" s="443"/>
      <c r="Y27" s="443"/>
      <c r="Z27" s="443"/>
      <c r="AA27" s="443"/>
      <c r="AB27" s="443"/>
      <c r="AC27" s="443"/>
      <c r="AD27" s="443"/>
      <c r="AE27" s="443"/>
      <c r="AF27" s="443"/>
      <c r="AG27" s="443"/>
      <c r="AH27" s="443"/>
      <c r="AI27" s="443"/>
      <c r="AJ27" s="443"/>
      <c r="AK27" s="443"/>
      <c r="AL27" s="443"/>
      <c r="AM27" s="443"/>
      <c r="AN27" s="443"/>
      <c r="AO27" s="443"/>
      <c r="AP27" s="443"/>
      <c r="AQ27" s="443"/>
      <c r="AR27" s="443"/>
      <c r="AS27" s="443"/>
      <c r="AT27" s="443"/>
      <c r="AU27" s="443"/>
      <c r="AV27" s="443"/>
      <c r="AW27" s="443"/>
      <c r="AX27" s="443"/>
      <c r="AY27" s="443"/>
      <c r="AZ27" s="443"/>
      <c r="BA27" s="443"/>
      <c r="BI27" s="1072">
        <v>14</v>
      </c>
    </row>
    <row r="28" spans="1:61" ht="14.65" customHeight="1">
      <c r="Q28" s="226"/>
      <c r="R28" s="310"/>
      <c r="S28" s="3183"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3183"/>
      <c r="U28" s="3183"/>
      <c r="V28" s="3183"/>
      <c r="W28" s="3183"/>
      <c r="X28" s="3183"/>
      <c r="Y28" s="3183"/>
      <c r="Z28" s="3183"/>
      <c r="AA28" s="3183"/>
      <c r="AB28" s="3183"/>
      <c r="AC28" s="3183"/>
      <c r="AD28" s="3183"/>
      <c r="AE28" s="3183"/>
      <c r="AF28" s="3183"/>
      <c r="AG28" s="3183"/>
      <c r="AH28" s="3183"/>
      <c r="AI28" s="3183"/>
      <c r="AJ28" s="3183"/>
      <c r="AK28" s="3183"/>
      <c r="AL28" s="3183"/>
      <c r="AM28" s="3183"/>
      <c r="AN28" s="3183"/>
      <c r="AO28" s="3183"/>
      <c r="AP28" s="3183"/>
      <c r="AQ28" s="3183"/>
      <c r="AR28" s="3183"/>
      <c r="AS28" s="3183"/>
      <c r="AT28" s="3183"/>
      <c r="AU28" s="3183"/>
      <c r="AV28" s="3183"/>
      <c r="AW28" s="3183"/>
      <c r="AX28" s="3183"/>
      <c r="AY28" s="3183"/>
      <c r="AZ28" s="3183"/>
      <c r="BA28" s="1160"/>
      <c r="BI28" s="1072">
        <v>14</v>
      </c>
    </row>
    <row r="29" spans="1:61" ht="14.65" customHeight="1">
      <c r="Q29" s="226"/>
      <c r="R29" s="310"/>
      <c r="S29" s="3131" t="str">
        <f>IF(org=0,"Не определено",org)</f>
        <v>ООО "РСО"</v>
      </c>
      <c r="T29" s="3131"/>
      <c r="U29" s="3131"/>
      <c r="V29" s="3131"/>
      <c r="W29" s="3131"/>
      <c r="X29" s="3131"/>
      <c r="Y29" s="3131"/>
      <c r="Z29" s="3131"/>
      <c r="AA29" s="3131"/>
      <c r="AB29" s="3131"/>
      <c r="AC29" s="3131"/>
      <c r="AD29" s="3131"/>
      <c r="AE29" s="3131"/>
      <c r="AF29" s="3131"/>
      <c r="AG29" s="3131"/>
      <c r="AH29" s="3131"/>
      <c r="AI29" s="3131"/>
      <c r="AJ29" s="3131"/>
      <c r="AK29" s="3131"/>
      <c r="AL29" s="3131"/>
      <c r="AM29" s="3131"/>
      <c r="AN29" s="3131"/>
      <c r="AO29" s="3131"/>
      <c r="AP29" s="3131"/>
      <c r="AQ29" s="3131"/>
      <c r="AR29" s="3131"/>
      <c r="AS29" s="3131"/>
      <c r="AT29" s="3131"/>
      <c r="AU29" s="3131"/>
      <c r="AV29" s="3131"/>
      <c r="AW29" s="3131"/>
      <c r="AX29" s="3131"/>
      <c r="AY29" s="3131"/>
      <c r="AZ29" s="3131"/>
      <c r="BA29" s="1160"/>
      <c r="BI29" s="1072">
        <v>14</v>
      </c>
    </row>
    <row r="30" spans="1:61" ht="14.25" hidden="1" customHeight="1">
      <c r="Q30" s="226"/>
      <c r="R30" s="310"/>
      <c r="S30" s="1192"/>
      <c r="T30" s="297"/>
      <c r="U30" s="297"/>
      <c r="V30" s="257"/>
      <c r="W30" s="257"/>
      <c r="X30" s="257"/>
      <c r="Y30" s="257"/>
      <c r="Z30" s="257"/>
      <c r="AA30" s="257"/>
      <c r="AB30" s="257"/>
      <c r="AC30" s="257"/>
      <c r="AD30" s="257"/>
      <c r="AE30" s="257"/>
      <c r="AF30" s="257"/>
      <c r="AG30" s="257"/>
      <c r="AH30" s="257"/>
      <c r="AI30" s="257"/>
      <c r="AJ30" s="257"/>
      <c r="AK30" s="257"/>
      <c r="AL30" s="257"/>
      <c r="AM30" s="257"/>
      <c r="AN30" s="257"/>
      <c r="AO30" s="257"/>
      <c r="AP30" s="257"/>
      <c r="AQ30" s="257"/>
      <c r="AR30" s="257"/>
      <c r="AS30" s="257"/>
      <c r="AT30" s="257"/>
      <c r="AU30" s="257"/>
      <c r="AV30" s="257"/>
      <c r="AW30" s="257"/>
      <c r="AX30" s="257"/>
      <c r="AY30" s="257"/>
      <c r="AZ30" s="257"/>
      <c r="BA30" s="257"/>
      <c r="BB30" s="443"/>
      <c r="BI30" s="1072">
        <v>0</v>
      </c>
    </row>
    <row r="31" spans="1:61" s="2028" customFormat="1" ht="25.5" hidden="1" customHeight="1">
      <c r="A31" s="1285"/>
      <c r="B31" s="1285"/>
      <c r="C31" s="1285"/>
      <c r="D31" s="1285"/>
      <c r="E31" s="1285"/>
      <c r="F31" s="1285"/>
      <c r="G31" s="1285"/>
      <c r="H31" s="1285"/>
      <c r="I31" s="1285"/>
      <c r="J31" s="1285"/>
      <c r="K31" s="1285"/>
      <c r="L31" s="1286"/>
      <c r="M31" s="1285"/>
      <c r="N31" s="1285"/>
      <c r="O31" s="1285"/>
      <c r="P31" s="1285"/>
      <c r="Q31" s="1285"/>
      <c r="S31" s="3191" t="s">
        <v>42</v>
      </c>
      <c r="T31" s="3191"/>
      <c r="U31" s="1289"/>
      <c r="V31" s="3192" t="str">
        <f>IF(TITLE_NAME_OR_PR_CHANGE="",IF(TITLE_NAME_OR_PR="","",TITLE_NAME_OR_PR),TITLE_NAME_OR_PR_CHANGE)</f>
        <v/>
      </c>
      <c r="W31" s="3192"/>
      <c r="X31" s="3192"/>
      <c r="Y31" s="3192"/>
      <c r="Z31" s="3192"/>
      <c r="AA31" s="3192"/>
      <c r="AB31" s="3192"/>
      <c r="AC31" s="261"/>
      <c r="AD31" s="3192" t="str">
        <f>IF(TITLE_NAME_OR_PR_CHANGE="",IF(TITLE_NAME_OR_PR="","",TITLE_NAME_OR_PR),TITLE_NAME_OR_PR_CHANGE)</f>
        <v/>
      </c>
      <c r="AE31" s="3192"/>
      <c r="AF31" s="3192"/>
      <c r="AG31" s="3192"/>
      <c r="AH31" s="3192"/>
      <c r="AI31" s="3192"/>
      <c r="AJ31" s="3192"/>
      <c r="AK31" s="3192"/>
      <c r="AL31" s="3192"/>
      <c r="AM31" s="3192"/>
      <c r="AN31" s="3192"/>
      <c r="AO31" s="3192"/>
      <c r="AP31" s="3192"/>
      <c r="AQ31" s="3192"/>
      <c r="AR31" s="3192"/>
      <c r="AS31" s="3192"/>
      <c r="AT31" s="3192"/>
      <c r="AU31" s="3192"/>
      <c r="AV31" s="3192"/>
      <c r="AW31" s="3192"/>
      <c r="AX31" s="3192"/>
      <c r="AY31" s="3192"/>
      <c r="AZ31" s="3192"/>
      <c r="BA31" s="261"/>
      <c r="BB31" s="261"/>
      <c r="BC31" s="215"/>
      <c r="BD31" s="302"/>
      <c r="BE31" s="302"/>
      <c r="BF31" s="302"/>
      <c r="BG31" s="302"/>
      <c r="BH31" s="302"/>
      <c r="BI31" s="352">
        <v>0</v>
      </c>
    </row>
    <row r="32" spans="1:61" s="2028" customFormat="1" ht="18.75" hidden="1" customHeight="1">
      <c r="A32" s="1285"/>
      <c r="B32" s="1285"/>
      <c r="C32" s="1285"/>
      <c r="D32" s="1285"/>
      <c r="E32" s="1285"/>
      <c r="F32" s="1285"/>
      <c r="G32" s="1285"/>
      <c r="H32" s="1285"/>
      <c r="I32" s="1285"/>
      <c r="J32" s="1285"/>
      <c r="K32" s="1285"/>
      <c r="L32" s="1286"/>
      <c r="M32" s="1285"/>
      <c r="N32" s="1285"/>
      <c r="O32" s="1285"/>
      <c r="P32" s="1285"/>
      <c r="Q32" s="1285"/>
      <c r="S32" s="3191" t="s">
        <v>455</v>
      </c>
      <c r="T32" s="3191"/>
      <c r="U32" s="1289"/>
      <c r="V32" s="3201">
        <f>IF(TITLE_DATE_PR_CHANGE="",IF(TITLE_DATE_PR="","",TITLE_DATE_PR),TITLE_DATE_PR_CHANGE)</f>
        <v>45408</v>
      </c>
      <c r="W32" s="3201"/>
      <c r="X32" s="3201"/>
      <c r="Y32" s="3201"/>
      <c r="Z32" s="3201"/>
      <c r="AA32" s="3201"/>
      <c r="AB32" s="3201"/>
      <c r="AC32" s="261"/>
      <c r="AD32" s="3201">
        <f>IF(TITLE_DATE_PR_CHANGE="",IF(TITLE_DATE_PR="","",TITLE_DATE_PR),TITLE_DATE_PR_CHANGE)</f>
        <v>45408</v>
      </c>
      <c r="AE32" s="3201"/>
      <c r="AF32" s="3201"/>
      <c r="AG32" s="3201"/>
      <c r="AH32" s="3201"/>
      <c r="AI32" s="3201"/>
      <c r="AJ32" s="3201"/>
      <c r="AK32" s="3201"/>
      <c r="AL32" s="3201"/>
      <c r="AM32" s="3201"/>
      <c r="AN32" s="3201"/>
      <c r="AO32" s="3201"/>
      <c r="AP32" s="3201"/>
      <c r="AQ32" s="3201"/>
      <c r="AR32" s="3201"/>
      <c r="AS32" s="3201"/>
      <c r="AT32" s="3201"/>
      <c r="AU32" s="3201"/>
      <c r="AV32" s="3201"/>
      <c r="AW32" s="3201"/>
      <c r="AX32" s="3201"/>
      <c r="AY32" s="3201"/>
      <c r="AZ32" s="3201"/>
      <c r="BA32" s="261"/>
      <c r="BB32" s="261"/>
      <c r="BC32" s="215"/>
      <c r="BD32" s="302"/>
      <c r="BE32" s="302"/>
      <c r="BF32" s="302"/>
      <c r="BG32" s="302"/>
      <c r="BH32" s="302"/>
      <c r="BI32" s="352">
        <v>0</v>
      </c>
    </row>
    <row r="33" spans="1:61" s="2028" customFormat="1" ht="18.75" hidden="1" customHeight="1">
      <c r="A33" s="1285"/>
      <c r="B33" s="1285"/>
      <c r="C33" s="1285"/>
      <c r="D33" s="1285"/>
      <c r="E33" s="1285"/>
      <c r="F33" s="1285"/>
      <c r="G33" s="1285"/>
      <c r="H33" s="1285"/>
      <c r="I33" s="1285"/>
      <c r="J33" s="1285"/>
      <c r="K33" s="1285"/>
      <c r="L33" s="1286"/>
      <c r="M33" s="1285"/>
      <c r="N33" s="1285"/>
      <c r="O33" s="1285"/>
      <c r="P33" s="1285"/>
      <c r="Q33" s="1285"/>
      <c r="S33" s="3191" t="s">
        <v>456</v>
      </c>
      <c r="T33" s="3191"/>
      <c r="U33" s="1289"/>
      <c r="V33" s="3192" t="str">
        <f>IF(TITLE_NUMBER_PR_CHANGE="",IF(TITLE_NUMBER_PR="","",TITLE_NUMBER_PR),TITLE_NUMBER_PR_CHANGE)</f>
        <v>04-24/132, 04-24/131</v>
      </c>
      <c r="W33" s="3192"/>
      <c r="X33" s="3192"/>
      <c r="Y33" s="3192"/>
      <c r="Z33" s="3192"/>
      <c r="AA33" s="3192"/>
      <c r="AB33" s="3192"/>
      <c r="AC33" s="261"/>
      <c r="AD33" s="3192" t="str">
        <f>IF(TITLE_NUMBER_PR_CHANGE="",IF(TITLE_NUMBER_PR="","",TITLE_NUMBER_PR),TITLE_NUMBER_PR_CHANGE)</f>
        <v>04-24/132, 04-24/131</v>
      </c>
      <c r="AE33" s="3192"/>
      <c r="AF33" s="3192"/>
      <c r="AG33" s="3192"/>
      <c r="AH33" s="3192"/>
      <c r="AI33" s="3192"/>
      <c r="AJ33" s="3192"/>
      <c r="AK33" s="3192"/>
      <c r="AL33" s="3192"/>
      <c r="AM33" s="3192"/>
      <c r="AN33" s="3192"/>
      <c r="AO33" s="3192"/>
      <c r="AP33" s="3192"/>
      <c r="AQ33" s="3192"/>
      <c r="AR33" s="3192"/>
      <c r="AS33" s="3192"/>
      <c r="AT33" s="3192"/>
      <c r="AU33" s="3192"/>
      <c r="AV33" s="3192"/>
      <c r="AW33" s="3192"/>
      <c r="AX33" s="3192"/>
      <c r="AY33" s="3192"/>
      <c r="AZ33" s="3192"/>
      <c r="BA33" s="261"/>
      <c r="BB33" s="261"/>
      <c r="BC33" s="215"/>
      <c r="BD33" s="302"/>
      <c r="BE33" s="302"/>
      <c r="BF33" s="302"/>
      <c r="BG33" s="302"/>
      <c r="BH33" s="302"/>
      <c r="BI33" s="352">
        <v>0</v>
      </c>
    </row>
    <row r="34" spans="1:61" s="2028" customFormat="1" ht="18.75" hidden="1" customHeight="1">
      <c r="A34" s="1285"/>
      <c r="B34" s="1285"/>
      <c r="C34" s="1285"/>
      <c r="D34" s="1285"/>
      <c r="E34" s="1285"/>
      <c r="F34" s="1285"/>
      <c r="G34" s="1285"/>
      <c r="H34" s="1285"/>
      <c r="I34" s="1285"/>
      <c r="J34" s="1285"/>
      <c r="K34" s="1285"/>
      <c r="L34" s="1286"/>
      <c r="M34" s="1285"/>
      <c r="N34" s="1285"/>
      <c r="O34" s="1285"/>
      <c r="P34" s="1285"/>
      <c r="Q34" s="1285"/>
      <c r="S34" s="3191" t="s">
        <v>43</v>
      </c>
      <c r="T34" s="3191"/>
      <c r="U34" s="1289"/>
      <c r="V34" s="3192" t="str">
        <f>IF(TITLE_IST_PUB_CHANGE="",IF(TITLE_IST_PUB="","",TITLE_IST_PUB),TITLE_IST_PUB_CHANGE)</f>
        <v/>
      </c>
      <c r="W34" s="3192"/>
      <c r="X34" s="3192"/>
      <c r="Y34" s="3192"/>
      <c r="Z34" s="3192"/>
      <c r="AA34" s="3192"/>
      <c r="AB34" s="3192"/>
      <c r="AC34" s="261"/>
      <c r="AD34" s="3192" t="str">
        <f>IF(TITLE_IST_PUB_CHANGE="",IF(TITLE_IST_PUB="","",TITLE_IST_PUB),TITLE_IST_PUB_CHANGE)</f>
        <v/>
      </c>
      <c r="AE34" s="3192"/>
      <c r="AF34" s="3192"/>
      <c r="AG34" s="3192"/>
      <c r="AH34" s="3192"/>
      <c r="AI34" s="3192"/>
      <c r="AJ34" s="3192"/>
      <c r="AK34" s="3192"/>
      <c r="AL34" s="3192"/>
      <c r="AM34" s="3192"/>
      <c r="AN34" s="3192"/>
      <c r="AO34" s="3192"/>
      <c r="AP34" s="3192"/>
      <c r="AQ34" s="3192"/>
      <c r="AR34" s="3192"/>
      <c r="AS34" s="3192"/>
      <c r="AT34" s="3192"/>
      <c r="AU34" s="3192"/>
      <c r="AV34" s="3192"/>
      <c r="AW34" s="3192"/>
      <c r="AX34" s="3192"/>
      <c r="AY34" s="3192"/>
      <c r="AZ34" s="3192"/>
      <c r="BA34" s="261"/>
      <c r="BB34" s="261"/>
      <c r="BC34" s="215"/>
      <c r="BD34" s="302"/>
      <c r="BE34" s="302"/>
      <c r="BF34" s="302"/>
      <c r="BG34" s="302"/>
      <c r="BH34" s="302"/>
      <c r="BI34" s="352">
        <v>0</v>
      </c>
    </row>
    <row r="35" spans="1:61" ht="14.25" customHeight="1">
      <c r="Q35" s="226"/>
      <c r="R35" s="310"/>
      <c r="S35" s="1192"/>
      <c r="T35" s="297"/>
      <c r="U35" s="297"/>
      <c r="V35" s="257"/>
      <c r="W35" s="257"/>
      <c r="X35" s="257"/>
      <c r="Y35" s="257"/>
      <c r="Z35" s="257"/>
      <c r="AA35" s="257"/>
      <c r="AB35" s="257"/>
      <c r="AC35" s="257"/>
      <c r="AD35" s="257"/>
      <c r="AE35" s="257"/>
      <c r="AF35" s="257"/>
      <c r="AG35" s="257"/>
      <c r="AH35" s="257"/>
      <c r="AI35" s="257"/>
      <c r="AJ35" s="257"/>
      <c r="AK35" s="257"/>
      <c r="AL35" s="257"/>
      <c r="AM35" s="257"/>
      <c r="AN35" s="257"/>
      <c r="AO35" s="257"/>
      <c r="AP35" s="257"/>
      <c r="AQ35" s="257"/>
      <c r="AR35" s="257"/>
      <c r="AS35" s="257"/>
      <c r="AT35" s="257"/>
      <c r="AU35" s="257"/>
      <c r="AV35" s="257"/>
      <c r="AW35" s="257"/>
      <c r="AX35" s="257"/>
      <c r="AY35" s="257"/>
      <c r="AZ35" s="257"/>
      <c r="BA35" s="257"/>
      <c r="BB35" s="443"/>
      <c r="BI35" s="1072">
        <v>0</v>
      </c>
    </row>
    <row r="36" spans="1:61" s="2028" customFormat="1" ht="18.75" customHeight="1">
      <c r="A36" s="1285"/>
      <c r="B36" s="1285"/>
      <c r="C36" s="1285"/>
      <c r="D36" s="1285"/>
      <c r="E36" s="1285"/>
      <c r="F36" s="1285"/>
      <c r="G36" s="1285"/>
      <c r="H36" s="1285"/>
      <c r="I36" s="1285"/>
      <c r="J36" s="1285"/>
      <c r="K36" s="1285"/>
      <c r="L36" s="1286"/>
      <c r="M36" s="1285"/>
      <c r="N36" s="1285"/>
      <c r="O36" s="1285"/>
      <c r="P36" s="1285"/>
      <c r="Q36" s="1285"/>
      <c r="S36" s="3191" t="s">
        <v>455</v>
      </c>
      <c r="T36" s="3191"/>
      <c r="U36" s="1289"/>
      <c r="V36" s="3201">
        <f>IF(TITLE_DATE_PR_CHANGE="",IF(TITLE_DATE_PR="","",TITLE_DATE_PR),TITLE_DATE_PR_CHANGE)</f>
        <v>45408</v>
      </c>
      <c r="W36" s="3201"/>
      <c r="X36" s="3201"/>
      <c r="Y36" s="3201"/>
      <c r="Z36" s="3201"/>
      <c r="AA36" s="3201"/>
      <c r="AB36" s="3201"/>
      <c r="AC36" s="261"/>
      <c r="AD36" s="3201">
        <f>IF(TITLE_DATE_PR_CHANGE="",IF(TITLE_DATE_PR="","",TITLE_DATE_PR),TITLE_DATE_PR_CHANGE)</f>
        <v>45408</v>
      </c>
      <c r="AE36" s="3201"/>
      <c r="AF36" s="3201"/>
      <c r="AG36" s="3201"/>
      <c r="AH36" s="3201"/>
      <c r="AI36" s="3201"/>
      <c r="AJ36" s="3201"/>
      <c r="AK36" s="3201"/>
      <c r="AL36" s="3201"/>
      <c r="AM36" s="3201"/>
      <c r="AN36" s="3201"/>
      <c r="AO36" s="3201"/>
      <c r="AP36" s="3201"/>
      <c r="AQ36" s="3201"/>
      <c r="AR36" s="3201"/>
      <c r="AS36" s="3201"/>
      <c r="AT36" s="3201"/>
      <c r="AU36" s="3201"/>
      <c r="AV36" s="3201"/>
      <c r="AW36" s="3201"/>
      <c r="AX36" s="3201"/>
      <c r="AY36" s="3201"/>
      <c r="AZ36" s="3201"/>
      <c r="BA36" s="261"/>
      <c r="BB36" s="261"/>
      <c r="BC36" s="215"/>
      <c r="BD36" s="302"/>
      <c r="BE36" s="302"/>
      <c r="BF36" s="302"/>
      <c r="BG36" s="302"/>
      <c r="BH36" s="302"/>
      <c r="BI36" s="352">
        <v>0</v>
      </c>
    </row>
    <row r="37" spans="1:61" s="2028" customFormat="1" ht="18.75" customHeight="1">
      <c r="A37" s="1285"/>
      <c r="B37" s="1285"/>
      <c r="C37" s="1285"/>
      <c r="D37" s="1285"/>
      <c r="E37" s="1285"/>
      <c r="F37" s="1285"/>
      <c r="G37" s="1285"/>
      <c r="H37" s="1285"/>
      <c r="I37" s="1285"/>
      <c r="J37" s="1285"/>
      <c r="K37" s="1285"/>
      <c r="L37" s="1286"/>
      <c r="M37" s="1285"/>
      <c r="N37" s="1285"/>
      <c r="O37" s="1285"/>
      <c r="P37" s="1285"/>
      <c r="Q37" s="1285"/>
      <c r="S37" s="3191" t="s">
        <v>456</v>
      </c>
      <c r="T37" s="3191"/>
      <c r="U37" s="1289"/>
      <c r="V37" s="3192" t="str">
        <f>IF(TITLE_NUMBER_PR_CHANGE="",IF(TITLE_NUMBER_PR="","",TITLE_NUMBER_PR),TITLE_NUMBER_PR_CHANGE)</f>
        <v>04-24/132, 04-24/131</v>
      </c>
      <c r="W37" s="3192"/>
      <c r="X37" s="3192"/>
      <c r="Y37" s="3192"/>
      <c r="Z37" s="3192"/>
      <c r="AA37" s="3192"/>
      <c r="AB37" s="3192"/>
      <c r="AC37" s="261"/>
      <c r="AD37" s="3192" t="str">
        <f>IF(TITLE_NUMBER_PR_CHANGE="",IF(TITLE_NUMBER_PR="","",TITLE_NUMBER_PR),TITLE_NUMBER_PR_CHANGE)</f>
        <v>04-24/132, 04-24/131</v>
      </c>
      <c r="AE37" s="3192"/>
      <c r="AF37" s="3192"/>
      <c r="AG37" s="3192"/>
      <c r="AH37" s="3192"/>
      <c r="AI37" s="3192"/>
      <c r="AJ37" s="3192"/>
      <c r="AK37" s="3192"/>
      <c r="AL37" s="3192"/>
      <c r="AM37" s="3192"/>
      <c r="AN37" s="3192"/>
      <c r="AO37" s="3192"/>
      <c r="AP37" s="3192"/>
      <c r="AQ37" s="3192"/>
      <c r="AR37" s="3192"/>
      <c r="AS37" s="3192"/>
      <c r="AT37" s="3192"/>
      <c r="AU37" s="3192"/>
      <c r="AV37" s="3192"/>
      <c r="AW37" s="3192"/>
      <c r="AX37" s="3192"/>
      <c r="AY37" s="3192"/>
      <c r="AZ37" s="3192"/>
      <c r="BA37" s="261"/>
      <c r="BB37" s="261"/>
      <c r="BC37" s="215"/>
      <c r="BD37" s="302"/>
      <c r="BE37" s="302"/>
      <c r="BF37" s="302"/>
      <c r="BG37" s="302"/>
      <c r="BH37" s="302"/>
      <c r="BI37" s="352">
        <v>0</v>
      </c>
    </row>
    <row r="38" spans="1:61" s="2028" customFormat="1" ht="0" hidden="1" customHeight="1">
      <c r="A38" s="1285"/>
      <c r="B38" s="1285"/>
      <c r="C38" s="1285"/>
      <c r="D38" s="1285"/>
      <c r="E38" s="1285"/>
      <c r="F38" s="1285"/>
      <c r="G38" s="1285"/>
      <c r="H38" s="1285"/>
      <c r="I38" s="1285"/>
      <c r="J38" s="1285"/>
      <c r="K38" s="1285"/>
      <c r="L38" s="1286"/>
      <c r="M38" s="1285"/>
      <c r="N38" s="1285"/>
      <c r="O38" s="1285"/>
      <c r="P38" s="1285"/>
      <c r="Q38" s="1285"/>
      <c r="S38" s="258"/>
      <c r="T38" s="258"/>
      <c r="U38" s="1405"/>
      <c r="V38" s="261"/>
      <c r="W38" s="261"/>
      <c r="X38" s="261"/>
      <c r="Y38" s="261"/>
      <c r="Z38" s="261"/>
      <c r="AA38" s="261"/>
      <c r="AB38" s="261"/>
      <c r="AC38" s="213" t="s">
        <v>459</v>
      </c>
      <c r="AD38" s="261"/>
      <c r="AE38" s="261"/>
      <c r="AF38" s="261"/>
      <c r="AG38" s="261"/>
      <c r="AH38" s="261"/>
      <c r="AI38" s="261"/>
      <c r="AJ38" s="261"/>
      <c r="AK38" s="261"/>
      <c r="AL38" s="261"/>
      <c r="AM38" s="261"/>
      <c r="AN38" s="261"/>
      <c r="AO38" s="261"/>
      <c r="AP38" s="261"/>
      <c r="AQ38" s="261"/>
      <c r="AR38" s="261"/>
      <c r="AS38" s="261"/>
      <c r="AT38" s="261"/>
      <c r="AU38" s="261"/>
      <c r="AV38" s="261"/>
      <c r="AW38" s="261"/>
      <c r="AX38" s="261"/>
      <c r="AY38" s="261"/>
      <c r="AZ38" s="261"/>
      <c r="BA38" s="213" t="s">
        <v>459</v>
      </c>
      <c r="BD38" s="302"/>
      <c r="BE38" s="302"/>
      <c r="BF38" s="302"/>
      <c r="BG38" s="302"/>
      <c r="BH38" s="302"/>
      <c r="BI38" s="352">
        <v>0</v>
      </c>
    </row>
    <row r="39" spans="1:61" ht="14.65" customHeight="1">
      <c r="Q39" s="226"/>
      <c r="R39" s="310"/>
      <c r="S39" s="1192"/>
      <c r="T39" s="297"/>
      <c r="U39" s="1161"/>
      <c r="V39" s="3193"/>
      <c r="W39" s="3193"/>
      <c r="X39" s="3193"/>
      <c r="Y39" s="3193"/>
      <c r="Z39" s="3193"/>
      <c r="AA39" s="3193"/>
      <c r="AB39" s="3193"/>
      <c r="AC39" s="3193"/>
      <c r="AD39" s="3193"/>
      <c r="AE39" s="3193"/>
      <c r="AF39" s="3193"/>
      <c r="AG39" s="3193"/>
      <c r="AH39" s="3193"/>
      <c r="AI39" s="3193"/>
      <c r="AJ39" s="3193"/>
      <c r="AK39" s="3193"/>
      <c r="AL39" s="3193"/>
      <c r="AM39" s="3193"/>
      <c r="AN39" s="3193"/>
      <c r="AO39" s="3193"/>
      <c r="AP39" s="3193"/>
      <c r="AQ39" s="3193"/>
      <c r="AR39" s="3193"/>
      <c r="AS39" s="3193"/>
      <c r="AT39" s="3193"/>
      <c r="AU39" s="3193"/>
      <c r="AV39" s="3193"/>
      <c r="AW39" s="3193"/>
      <c r="AX39" s="3193"/>
      <c r="AY39" s="3193"/>
      <c r="AZ39" s="3193"/>
      <c r="BA39" s="3193"/>
      <c r="BI39" s="1072">
        <v>14</v>
      </c>
    </row>
    <row r="40" spans="1:61" ht="14.65" customHeight="1">
      <c r="Q40" s="226"/>
      <c r="R40" s="310"/>
      <c r="S40" s="3067" t="s">
        <v>335</v>
      </c>
      <c r="T40" s="3067"/>
      <c r="U40" s="3067"/>
      <c r="V40" s="3067"/>
      <c r="W40" s="3067"/>
      <c r="X40" s="3067"/>
      <c r="Y40" s="3067"/>
      <c r="Z40" s="3067"/>
      <c r="AA40" s="3067"/>
      <c r="AB40" s="3067"/>
      <c r="AC40" s="3067"/>
      <c r="AD40" s="3067"/>
      <c r="AE40" s="3067"/>
      <c r="AF40" s="3067"/>
      <c r="AG40" s="3067"/>
      <c r="AH40" s="3067"/>
      <c r="AI40" s="3067"/>
      <c r="AJ40" s="3067"/>
      <c r="AK40" s="3067"/>
      <c r="AL40" s="3067"/>
      <c r="AM40" s="3067"/>
      <c r="AN40" s="3067"/>
      <c r="AO40" s="3067"/>
      <c r="AP40" s="3067"/>
      <c r="AQ40" s="3067"/>
      <c r="AR40" s="3067"/>
      <c r="AS40" s="3067"/>
      <c r="AT40" s="3067"/>
      <c r="AU40" s="3067"/>
      <c r="AV40" s="3067"/>
      <c r="AW40" s="3067"/>
      <c r="AX40" s="3067"/>
      <c r="AY40" s="3067"/>
      <c r="AZ40" s="3067"/>
      <c r="BA40" s="3067"/>
      <c r="BB40" s="3067"/>
      <c r="BC40" s="3067" t="s">
        <v>336</v>
      </c>
      <c r="BI40" s="1072">
        <v>14</v>
      </c>
    </row>
    <row r="41" spans="1:61" ht="14.65" customHeight="1">
      <c r="Q41" s="226"/>
      <c r="R41" s="310"/>
      <c r="S41" s="3207" t="s">
        <v>89</v>
      </c>
      <c r="T41" s="3159" t="s">
        <v>540</v>
      </c>
      <c r="U41" s="236"/>
      <c r="V41" s="3208" t="s">
        <v>461</v>
      </c>
      <c r="W41" s="3209"/>
      <c r="X41" s="3209"/>
      <c r="Y41" s="3209"/>
      <c r="Z41" s="3209"/>
      <c r="AA41" s="3209"/>
      <c r="AB41" s="3210"/>
      <c r="AC41" s="3211" t="s">
        <v>462</v>
      </c>
      <c r="AD41" s="3244" t="s">
        <v>541</v>
      </c>
      <c r="AE41" s="3225"/>
      <c r="AF41" s="3225"/>
      <c r="AG41" s="3245"/>
      <c r="AH41" s="3244" t="s">
        <v>542</v>
      </c>
      <c r="AI41" s="3225"/>
      <c r="AJ41" s="3225"/>
      <c r="AK41" s="3245"/>
      <c r="AL41" s="3244" t="s">
        <v>543</v>
      </c>
      <c r="AM41" s="3225"/>
      <c r="AN41" s="3225"/>
      <c r="AO41" s="3245"/>
      <c r="AP41" s="3244" t="s">
        <v>544</v>
      </c>
      <c r="AQ41" s="3225"/>
      <c r="AR41" s="3225"/>
      <c r="AS41" s="3245"/>
      <c r="AT41" s="3208" t="s">
        <v>461</v>
      </c>
      <c r="AU41" s="3209"/>
      <c r="AV41" s="3209"/>
      <c r="AW41" s="3209"/>
      <c r="AX41" s="3209"/>
      <c r="AY41" s="3209"/>
      <c r="AZ41" s="3210"/>
      <c r="BA41" s="3211" t="s">
        <v>462</v>
      </c>
      <c r="BB41" s="3214" t="s">
        <v>464</v>
      </c>
      <c r="BC41" s="3067"/>
      <c r="BI41" s="1072">
        <v>14</v>
      </c>
    </row>
    <row r="42" spans="1:61" ht="35.65" customHeight="1">
      <c r="Q42" s="226"/>
      <c r="R42" s="310"/>
      <c r="S42" s="3207"/>
      <c r="T42" s="3159"/>
      <c r="U42" s="952"/>
      <c r="V42" s="3145" t="s">
        <v>545</v>
      </c>
      <c r="W42" s="3146"/>
      <c r="X42" s="3145" t="s">
        <v>546</v>
      </c>
      <c r="Y42" s="3146"/>
      <c r="Z42" s="3145" t="s">
        <v>547</v>
      </c>
      <c r="AA42" s="3239"/>
      <c r="AB42" s="3146"/>
      <c r="AC42" s="3212"/>
      <c r="AD42" s="3246"/>
      <c r="AE42" s="3247"/>
      <c r="AF42" s="3247"/>
      <c r="AG42" s="3248"/>
      <c r="AH42" s="3246"/>
      <c r="AI42" s="3247"/>
      <c r="AJ42" s="3247"/>
      <c r="AK42" s="3248"/>
      <c r="AL42" s="3246"/>
      <c r="AM42" s="3247"/>
      <c r="AN42" s="3247"/>
      <c r="AO42" s="3248"/>
      <c r="AP42" s="3246"/>
      <c r="AQ42" s="3247"/>
      <c r="AR42" s="3247"/>
      <c r="AS42" s="3248"/>
      <c r="AT42" s="3145" t="s">
        <v>545</v>
      </c>
      <c r="AU42" s="3146"/>
      <c r="AV42" s="3145" t="s">
        <v>546</v>
      </c>
      <c r="AW42" s="3146"/>
      <c r="AX42" s="3145" t="s">
        <v>547</v>
      </c>
      <c r="AY42" s="3239"/>
      <c r="AZ42" s="3146"/>
      <c r="BA42" s="3212"/>
      <c r="BB42" s="3215"/>
      <c r="BC42" s="3067"/>
      <c r="BI42" s="1072">
        <v>34</v>
      </c>
    </row>
    <row r="43" spans="1:61" ht="14.65" customHeight="1">
      <c r="Q43" s="226"/>
      <c r="R43" s="310"/>
      <c r="S43" s="3207"/>
      <c r="T43" s="3159"/>
      <c r="U43" s="952"/>
      <c r="V43" s="3150"/>
      <c r="W43" s="3151"/>
      <c r="X43" s="3150"/>
      <c r="Y43" s="3151"/>
      <c r="Z43" s="3150"/>
      <c r="AA43" s="3240"/>
      <c r="AB43" s="3151"/>
      <c r="AC43" s="3212"/>
      <c r="AD43" s="3246"/>
      <c r="AE43" s="3247"/>
      <c r="AF43" s="3247"/>
      <c r="AG43" s="3248"/>
      <c r="AH43" s="3246"/>
      <c r="AI43" s="3247"/>
      <c r="AJ43" s="3247"/>
      <c r="AK43" s="3248"/>
      <c r="AL43" s="3246"/>
      <c r="AM43" s="3247"/>
      <c r="AN43" s="3247"/>
      <c r="AO43" s="3248"/>
      <c r="AP43" s="3246"/>
      <c r="AQ43" s="3247"/>
      <c r="AR43" s="3247"/>
      <c r="AS43" s="3248"/>
      <c r="AT43" s="3150"/>
      <c r="AU43" s="3151"/>
      <c r="AV43" s="3150"/>
      <c r="AW43" s="3151"/>
      <c r="AX43" s="3150"/>
      <c r="AY43" s="3240"/>
      <c r="AZ43" s="3151"/>
      <c r="BA43" s="3212"/>
      <c r="BB43" s="3215"/>
      <c r="BC43" s="3067"/>
      <c r="BI43" s="1072">
        <v>14</v>
      </c>
    </row>
    <row r="44" spans="1:61" ht="14.65" customHeight="1">
      <c r="A44" s="1287"/>
      <c r="B44" s="1287" t="s">
        <v>149</v>
      </c>
      <c r="C44" s="1287" t="s">
        <v>150</v>
      </c>
      <c r="D44" s="1287" t="s">
        <v>151</v>
      </c>
      <c r="E44" s="1281" t="s">
        <v>469</v>
      </c>
      <c r="F44" s="1281" t="s">
        <v>470</v>
      </c>
      <c r="G44" s="1281" t="s">
        <v>471</v>
      </c>
      <c r="H44" s="1281" t="s">
        <v>472</v>
      </c>
      <c r="I44" s="1281" t="s">
        <v>473</v>
      </c>
      <c r="J44" s="1281" t="s">
        <v>474</v>
      </c>
      <c r="K44" s="1281" t="s">
        <v>475</v>
      </c>
      <c r="L44" s="1281" t="s">
        <v>450</v>
      </c>
      <c r="Q44" s="226"/>
      <c r="R44" s="310"/>
      <c r="S44" s="3207"/>
      <c r="T44" s="3159"/>
      <c r="U44" s="237"/>
      <c r="V44" s="1396" t="s">
        <v>511</v>
      </c>
      <c r="W44" s="1396" t="s">
        <v>512</v>
      </c>
      <c r="X44" s="1396" t="s">
        <v>511</v>
      </c>
      <c r="Y44" s="1396" t="s">
        <v>512</v>
      </c>
      <c r="Z44" s="1406" t="s">
        <v>478</v>
      </c>
      <c r="AA44" s="3167" t="s">
        <v>479</v>
      </c>
      <c r="AB44" s="3169"/>
      <c r="AC44" s="3213"/>
      <c r="AD44" s="3249"/>
      <c r="AE44" s="3250"/>
      <c r="AF44" s="3250"/>
      <c r="AG44" s="3251"/>
      <c r="AH44" s="3249"/>
      <c r="AI44" s="3250"/>
      <c r="AJ44" s="3250"/>
      <c r="AK44" s="3251"/>
      <c r="AL44" s="3249"/>
      <c r="AM44" s="3250"/>
      <c r="AN44" s="3250"/>
      <c r="AO44" s="3251"/>
      <c r="AP44" s="3249"/>
      <c r="AQ44" s="3250"/>
      <c r="AR44" s="3250"/>
      <c r="AS44" s="3251"/>
      <c r="AT44" s="1396" t="s">
        <v>511</v>
      </c>
      <c r="AU44" s="1396" t="s">
        <v>512</v>
      </c>
      <c r="AV44" s="1396" t="s">
        <v>511</v>
      </c>
      <c r="AW44" s="1396" t="s">
        <v>512</v>
      </c>
      <c r="AX44" s="1406" t="s">
        <v>478</v>
      </c>
      <c r="AY44" s="3167" t="s">
        <v>479</v>
      </c>
      <c r="AZ44" s="3169"/>
      <c r="BA44" s="3213"/>
      <c r="BB44" s="3216"/>
      <c r="BC44" s="3067"/>
      <c r="BI44" s="1072">
        <v>14</v>
      </c>
    </row>
    <row r="45" spans="1:61" s="2212" customFormat="1" ht="0" hidden="1" customHeight="1">
      <c r="A45" s="1287"/>
      <c r="B45" s="1287"/>
      <c r="C45" s="1287"/>
      <c r="D45" s="1287"/>
      <c r="E45" s="1287"/>
      <c r="F45" s="1287"/>
      <c r="G45" s="1287"/>
      <c r="H45" s="1287"/>
      <c r="I45" s="1287"/>
      <c r="J45" s="1287"/>
      <c r="K45" s="1287"/>
      <c r="L45" s="1281"/>
      <c r="M45" s="1279"/>
      <c r="N45" s="1279"/>
      <c r="O45" s="1279"/>
      <c r="P45" s="444"/>
      <c r="Q45" s="1171"/>
      <c r="R45" s="1171">
        <v>1</v>
      </c>
      <c r="S45" s="1194" t="s">
        <v>124</v>
      </c>
      <c r="T45" s="1172" t="s">
        <v>104</v>
      </c>
      <c r="U45" s="1162" t="str">
        <f ca="1">OFFSET(U45,0,-1)</f>
        <v>2</v>
      </c>
      <c r="V45" s="1399">
        <f t="shared" ref="V45:AA45" ca="1" si="2">OFFSET(V45,0,-1)+1</f>
        <v>3</v>
      </c>
      <c r="W45" s="1399">
        <f t="shared" ca="1" si="2"/>
        <v>4</v>
      </c>
      <c r="X45" s="1399">
        <f t="shared" ca="1" si="2"/>
        <v>5</v>
      </c>
      <c r="Y45" s="1399">
        <f t="shared" ca="1" si="2"/>
        <v>6</v>
      </c>
      <c r="Z45" s="1399">
        <f t="shared" ca="1" si="2"/>
        <v>7</v>
      </c>
      <c r="AA45" s="3206">
        <f t="shared" ca="1" si="2"/>
        <v>8</v>
      </c>
      <c r="AB45" s="3206"/>
      <c r="AC45" s="1399">
        <f ca="1">OFFSET(AC45,0,-2)+1</f>
        <v>9</v>
      </c>
      <c r="AD45" s="1399">
        <f ca="1">OFFSET(AD45,0,-1)+1</f>
        <v>10</v>
      </c>
      <c r="AE45" s="1399"/>
      <c r="AF45" s="1399"/>
      <c r="AG45" s="1399"/>
      <c r="AH45" s="1399"/>
      <c r="AI45" s="1399"/>
      <c r="AJ45" s="1399"/>
      <c r="AK45" s="1399"/>
      <c r="AL45" s="1399"/>
      <c r="AM45" s="1399"/>
      <c r="AN45" s="1399"/>
      <c r="AO45" s="1399"/>
      <c r="AP45" s="1399"/>
      <c r="AQ45" s="1399"/>
      <c r="AR45" s="1399"/>
      <c r="AS45" s="1399"/>
      <c r="AT45" s="1399"/>
      <c r="AU45" s="1399"/>
      <c r="AV45" s="1399"/>
      <c r="AW45" s="1399">
        <f ca="1">OFFSET(AW45,0,-1)+1</f>
        <v>1</v>
      </c>
      <c r="AX45" s="1399">
        <f ca="1">OFFSET(AX45,0,-1)+1</f>
        <v>2</v>
      </c>
      <c r="AY45" s="3206">
        <f ca="1">OFFSET(AY45,0,-1)+1</f>
        <v>3</v>
      </c>
      <c r="AZ45" s="3206"/>
      <c r="BA45" s="1399">
        <f ca="1">OFFSET(BA45,0,-2)+1</f>
        <v>4</v>
      </c>
      <c r="BB45" s="1162">
        <f ca="1">OFFSET(BB45,0,-1)</f>
        <v>4</v>
      </c>
      <c r="BC45" s="1399">
        <f ca="1">OFFSET(BC45,0,-1)+1</f>
        <v>5</v>
      </c>
      <c r="BD45" s="445"/>
      <c r="BE45" s="445"/>
      <c r="BF45" s="445"/>
      <c r="BG45" s="445"/>
      <c r="BH45" s="445"/>
      <c r="BI45" s="430">
        <v>0</v>
      </c>
    </row>
    <row r="46" spans="1:61" ht="22" customHeight="1">
      <c r="A46" s="1280" t="s">
        <v>296</v>
      </c>
      <c r="B46" s="1280"/>
      <c r="C46" s="1280"/>
      <c r="D46" s="1280"/>
      <c r="E46" s="3199">
        <v>1</v>
      </c>
      <c r="F46" s="1280"/>
      <c r="G46" s="1280"/>
      <c r="H46" s="1280"/>
      <c r="I46" s="1280"/>
      <c r="J46" s="1280"/>
      <c r="K46" s="1280"/>
      <c r="L46" s="1281"/>
      <c r="M46" s="1282"/>
      <c r="N46" s="1282"/>
      <c r="O46" s="1282"/>
      <c r="P46" s="1326"/>
      <c r="Q46" s="797"/>
      <c r="R46" s="289"/>
      <c r="S46" s="1410">
        <f>INDEX(PT_DIFFERENTIATION_NUM_NTAR,MATCH(A46,PT_DIFFERENTIATION_NTAR_ID,0))</f>
        <v>0</v>
      </c>
      <c r="T46" s="233" t="s">
        <v>137</v>
      </c>
      <c r="U46" s="235"/>
      <c r="V46" s="3186"/>
      <c r="W46" s="3186"/>
      <c r="X46" s="3186"/>
      <c r="Y46" s="3186"/>
      <c r="Z46" s="3186"/>
      <c r="AA46" s="3186"/>
      <c r="AB46" s="3186"/>
      <c r="AC46" s="3187"/>
      <c r="AD46" s="3185" t="str">
        <f>INDEX(PT_DIFFERENTIATION_NTAR,MATCH(A46,PT_DIFFERENTIATION_NTAR_ID,0))</f>
        <v/>
      </c>
      <c r="AE46" s="3186"/>
      <c r="AF46" s="3186"/>
      <c r="AG46" s="3186"/>
      <c r="AH46" s="3186"/>
      <c r="AI46" s="3186"/>
      <c r="AJ46" s="3186"/>
      <c r="AK46" s="3186"/>
      <c r="AL46" s="3186"/>
      <c r="AM46" s="3186"/>
      <c r="AN46" s="3186"/>
      <c r="AO46" s="3186"/>
      <c r="AP46" s="3186"/>
      <c r="AQ46" s="3186"/>
      <c r="AR46" s="3186"/>
      <c r="AS46" s="3186"/>
      <c r="AT46" s="3186"/>
      <c r="AU46" s="3186"/>
      <c r="AV46" s="3186"/>
      <c r="AW46" s="3186"/>
      <c r="AX46" s="3186"/>
      <c r="AY46" s="3186"/>
      <c r="AZ46" s="3186"/>
      <c r="BA46" s="3186"/>
      <c r="BB46" s="3187"/>
      <c r="BC46" s="117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4"/>
      <c r="BF46" s="434" t="str">
        <f t="shared" ref="BF46:BF52" si="3">IF(T46="","",T46)</f>
        <v>Наименование тарифа</v>
      </c>
      <c r="BG46" s="434"/>
      <c r="BH46" s="434"/>
      <c r="BI46" s="1072">
        <v>21</v>
      </c>
    </row>
    <row r="47" spans="1:61" ht="22" customHeight="1">
      <c r="A47" s="1280" t="s">
        <v>296</v>
      </c>
      <c r="B47" s="1280" t="s">
        <v>297</v>
      </c>
      <c r="C47" s="1280"/>
      <c r="D47" s="1280"/>
      <c r="E47" s="3200"/>
      <c r="F47" s="3199">
        <v>1</v>
      </c>
      <c r="G47" s="1280"/>
      <c r="H47" s="1280"/>
      <c r="I47" s="1280"/>
      <c r="J47" s="1280"/>
      <c r="K47" s="1280"/>
      <c r="L47" s="1281"/>
      <c r="M47" s="1282"/>
      <c r="N47" s="1282"/>
      <c r="O47" s="1282"/>
      <c r="P47" s="1327"/>
      <c r="Q47" s="1328"/>
      <c r="R47" s="287"/>
      <c r="S47" s="1410" t="str">
        <f>INDEX(PT_DIFFERENTIATION_NUM_TER,MATCH(B47,PT_DIFFERENTIATION_TER_ID,0))</f>
        <v>.</v>
      </c>
      <c r="T47" s="243" t="s">
        <v>432</v>
      </c>
      <c r="U47" s="235"/>
      <c r="V47" s="3186"/>
      <c r="W47" s="3186"/>
      <c r="X47" s="3186"/>
      <c r="Y47" s="3186"/>
      <c r="Z47" s="3186"/>
      <c r="AA47" s="3186"/>
      <c r="AB47" s="3186"/>
      <c r="AC47" s="3187"/>
      <c r="AD47" s="3185" t="str">
        <f>INDEX(PT_DIFFERENTIATION_TER,MATCH(B47,PT_DIFFERENTIATION_TER_ID,0))</f>
        <v/>
      </c>
      <c r="AE47" s="3186"/>
      <c r="AF47" s="3186"/>
      <c r="AG47" s="3186"/>
      <c r="AH47" s="3186"/>
      <c r="AI47" s="3186"/>
      <c r="AJ47" s="3186"/>
      <c r="AK47" s="3186"/>
      <c r="AL47" s="3186"/>
      <c r="AM47" s="3186"/>
      <c r="AN47" s="3186"/>
      <c r="AO47" s="3186"/>
      <c r="AP47" s="3186"/>
      <c r="AQ47" s="3186"/>
      <c r="AR47" s="3186"/>
      <c r="AS47" s="3186"/>
      <c r="AT47" s="3186"/>
      <c r="AU47" s="3186"/>
      <c r="AV47" s="3186"/>
      <c r="AW47" s="3186"/>
      <c r="AX47" s="3186"/>
      <c r="AY47" s="3186"/>
      <c r="AZ47" s="3186"/>
      <c r="BA47" s="3186"/>
      <c r="BB47" s="3187"/>
      <c r="BC47" s="1175" t="s">
        <v>433</v>
      </c>
      <c r="BE47" s="434"/>
      <c r="BF47" s="434" t="str">
        <f t="shared" si="3"/>
        <v>Территория действия тарифа</v>
      </c>
      <c r="BG47" s="434"/>
      <c r="BH47" s="434"/>
      <c r="BI47" s="1072">
        <v>21</v>
      </c>
    </row>
    <row r="48" spans="1:61" ht="35.65" customHeight="1">
      <c r="A48" s="1280" t="s">
        <v>296</v>
      </c>
      <c r="B48" s="1280" t="s">
        <v>297</v>
      </c>
      <c r="C48" s="1280" t="s">
        <v>298</v>
      </c>
      <c r="D48" s="1280"/>
      <c r="E48" s="3200"/>
      <c r="F48" s="3200"/>
      <c r="G48" s="3199">
        <v>1</v>
      </c>
      <c r="H48" s="1280"/>
      <c r="I48" s="1280"/>
      <c r="J48" s="1280"/>
      <c r="K48" s="1280"/>
      <c r="L48" s="1281"/>
      <c r="M48" s="1282"/>
      <c r="N48" s="1282"/>
      <c r="O48" s="1282"/>
      <c r="P48" s="1329"/>
      <c r="Q48" s="1328"/>
      <c r="R48" s="287"/>
      <c r="S48" s="1410" t="str">
        <f>INDEX(PT_DIFFERENTIATION_NUM_CS,MATCH(C48,PT_DIFFERENTIATION_CS_ID,0))</f>
        <v>..</v>
      </c>
      <c r="T48" s="244" t="s">
        <v>563</v>
      </c>
      <c r="U48" s="235"/>
      <c r="V48" s="3186"/>
      <c r="W48" s="3186"/>
      <c r="X48" s="3186"/>
      <c r="Y48" s="3186"/>
      <c r="Z48" s="3186"/>
      <c r="AA48" s="3186"/>
      <c r="AB48" s="3186"/>
      <c r="AC48" s="3187"/>
      <c r="AD48" s="3185" t="str">
        <f>INDEX(PT_DIFFERENTIATION_CS,MATCH(C48,PT_DIFFERENTIATION_CS_ID,0))</f>
        <v/>
      </c>
      <c r="AE48" s="3186"/>
      <c r="AF48" s="3186"/>
      <c r="AG48" s="3186"/>
      <c r="AH48" s="3186"/>
      <c r="AI48" s="3186"/>
      <c r="AJ48" s="3186"/>
      <c r="AK48" s="3186"/>
      <c r="AL48" s="3186"/>
      <c r="AM48" s="3186"/>
      <c r="AN48" s="3186"/>
      <c r="AO48" s="3186"/>
      <c r="AP48" s="3186"/>
      <c r="AQ48" s="3186"/>
      <c r="AR48" s="3186"/>
      <c r="AS48" s="3186"/>
      <c r="AT48" s="3186"/>
      <c r="AU48" s="3186"/>
      <c r="AV48" s="3186"/>
      <c r="AW48" s="3186"/>
      <c r="AX48" s="3186"/>
      <c r="AY48" s="3186"/>
      <c r="AZ48" s="3186"/>
      <c r="BA48" s="3186"/>
      <c r="BB48" s="3187"/>
      <c r="BC48" s="1175" t="s">
        <v>564</v>
      </c>
      <c r="BE48" s="434"/>
      <c r="BF48" s="434" t="str">
        <f t="shared" si="3"/>
        <v>Наименование централизованной системы горячего водоснабжения</v>
      </c>
      <c r="BG48" s="434"/>
      <c r="BH48" s="434"/>
      <c r="BI48" s="1072">
        <v>34</v>
      </c>
    </row>
    <row r="49" spans="1:61" s="2017" customFormat="1" ht="0" hidden="1" customHeight="1">
      <c r="A49" s="1260" t="s">
        <v>296</v>
      </c>
      <c r="B49" s="1260" t="s">
        <v>297</v>
      </c>
      <c r="C49" s="1260" t="s">
        <v>298</v>
      </c>
      <c r="D49" s="1260" t="s">
        <v>577</v>
      </c>
      <c r="E49" s="3200"/>
      <c r="F49" s="3200"/>
      <c r="G49" s="3200"/>
      <c r="H49" s="3199">
        <v>1</v>
      </c>
      <c r="I49" s="1260"/>
      <c r="J49" s="1260"/>
      <c r="K49" s="1260"/>
      <c r="L49" s="1263"/>
      <c r="M49" s="1232"/>
      <c r="N49" s="1232"/>
      <c r="O49" s="1232"/>
      <c r="P49" s="1414"/>
      <c r="Q49" s="1415"/>
      <c r="R49" s="291"/>
      <c r="S49" s="963"/>
      <c r="T49" s="1416"/>
      <c r="U49" s="1301"/>
      <c r="V49" s="3229"/>
      <c r="W49" s="3229"/>
      <c r="X49" s="3229"/>
      <c r="Y49" s="3229"/>
      <c r="Z49" s="3229"/>
      <c r="AA49" s="3229"/>
      <c r="AB49" s="3229"/>
      <c r="AC49" s="3230"/>
      <c r="AD49" s="3228"/>
      <c r="AE49" s="3229"/>
      <c r="AF49" s="3229"/>
      <c r="AG49" s="3229"/>
      <c r="AH49" s="3229"/>
      <c r="AI49" s="3229"/>
      <c r="AJ49" s="3229"/>
      <c r="AK49" s="3229"/>
      <c r="AL49" s="3229"/>
      <c r="AM49" s="3229"/>
      <c r="AN49" s="3229"/>
      <c r="AO49" s="3229"/>
      <c r="AP49" s="3229"/>
      <c r="AQ49" s="3229"/>
      <c r="AR49" s="3229"/>
      <c r="AS49" s="3229"/>
      <c r="AT49" s="3229"/>
      <c r="AU49" s="3229"/>
      <c r="AV49" s="3229"/>
      <c r="AW49" s="3229"/>
      <c r="AX49" s="3229"/>
      <c r="AY49" s="3229"/>
      <c r="AZ49" s="3229"/>
      <c r="BA49" s="3229"/>
      <c r="BB49" s="3230"/>
      <c r="BC49" s="1302" t="s">
        <v>437</v>
      </c>
      <c r="BE49" s="434"/>
      <c r="BF49" s="434" t="str">
        <f t="shared" si="3"/>
        <v/>
      </c>
      <c r="BG49" s="434"/>
      <c r="BH49" s="434"/>
      <c r="BI49" s="445">
        <v>0</v>
      </c>
    </row>
    <row r="50" spans="1:61" s="2017" customFormat="1" ht="0" hidden="1" customHeight="1">
      <c r="A50" s="1260" t="s">
        <v>296</v>
      </c>
      <c r="B50" s="1260" t="s">
        <v>297</v>
      </c>
      <c r="C50" s="1260" t="s">
        <v>298</v>
      </c>
      <c r="D50" s="1260" t="s">
        <v>577</v>
      </c>
      <c r="E50" s="3200"/>
      <c r="F50" s="3200"/>
      <c r="G50" s="3200"/>
      <c r="H50" s="3200"/>
      <c r="I50" s="3197" t="str">
        <f>S49&amp;".1"</f>
        <v>.1</v>
      </c>
      <c r="J50" s="1260"/>
      <c r="K50" s="1260"/>
      <c r="L50" s="1263" t="s">
        <v>438</v>
      </c>
      <c r="M50" s="444"/>
      <c r="N50" s="444"/>
      <c r="O50" s="444"/>
      <c r="P50" s="3198">
        <v>1</v>
      </c>
      <c r="Q50" s="1398"/>
      <c r="R50" s="290"/>
      <c r="S50" s="963"/>
      <c r="T50" s="1300"/>
      <c r="U50" s="1301"/>
      <c r="V50" s="3229"/>
      <c r="W50" s="3229"/>
      <c r="X50" s="3229"/>
      <c r="Y50" s="3229"/>
      <c r="Z50" s="3229"/>
      <c r="AA50" s="3229"/>
      <c r="AB50" s="3229"/>
      <c r="AC50" s="3230"/>
      <c r="AD50" s="3228"/>
      <c r="AE50" s="3229"/>
      <c r="AF50" s="3229"/>
      <c r="AG50" s="3229"/>
      <c r="AH50" s="3229"/>
      <c r="AI50" s="3229"/>
      <c r="AJ50" s="3229"/>
      <c r="AK50" s="3229"/>
      <c r="AL50" s="3229"/>
      <c r="AM50" s="3229"/>
      <c r="AN50" s="3229"/>
      <c r="AO50" s="3229"/>
      <c r="AP50" s="3229"/>
      <c r="AQ50" s="3229"/>
      <c r="AR50" s="3229"/>
      <c r="AS50" s="3229"/>
      <c r="AT50" s="3229"/>
      <c r="AU50" s="3229"/>
      <c r="AV50" s="3229"/>
      <c r="AW50" s="3229"/>
      <c r="AX50" s="3229"/>
      <c r="AY50" s="3229"/>
      <c r="AZ50" s="3229"/>
      <c r="BA50" s="3229"/>
      <c r="BB50" s="3230"/>
      <c r="BC50" s="1302"/>
      <c r="BE50" s="434"/>
      <c r="BF50" s="434" t="str">
        <f t="shared" si="3"/>
        <v/>
      </c>
      <c r="BG50" s="434"/>
      <c r="BH50" s="434"/>
      <c r="BI50" s="445">
        <v>0</v>
      </c>
    </row>
    <row r="51" spans="1:61" s="2017" customFormat="1" ht="0" hidden="1" customHeight="1">
      <c r="A51" s="1260" t="s">
        <v>296</v>
      </c>
      <c r="B51" s="1260" t="s">
        <v>297</v>
      </c>
      <c r="C51" s="1260" t="s">
        <v>298</v>
      </c>
      <c r="D51" s="1260" t="s">
        <v>577</v>
      </c>
      <c r="E51" s="3200"/>
      <c r="F51" s="3200"/>
      <c r="G51" s="3200"/>
      <c r="H51" s="3200"/>
      <c r="I51" s="3220"/>
      <c r="J51" s="3197" t="str">
        <f>S49&amp;".1"</f>
        <v>.1</v>
      </c>
      <c r="K51" s="1260"/>
      <c r="L51" s="1263"/>
      <c r="M51" s="444"/>
      <c r="N51" s="444"/>
      <c r="O51" s="444"/>
      <c r="P51" s="3198"/>
      <c r="Q51" s="3198">
        <v>1</v>
      </c>
      <c r="R51" s="291"/>
      <c r="S51" s="963"/>
      <c r="T51" s="1316"/>
      <c r="U51" s="1301"/>
      <c r="V51" s="3229"/>
      <c r="W51" s="3229"/>
      <c r="X51" s="3229"/>
      <c r="Y51" s="3229"/>
      <c r="Z51" s="3229"/>
      <c r="AA51" s="3229"/>
      <c r="AB51" s="3229"/>
      <c r="AC51" s="3230"/>
      <c r="AD51" s="3228"/>
      <c r="AE51" s="3229"/>
      <c r="AF51" s="3229"/>
      <c r="AG51" s="3229"/>
      <c r="AH51" s="3229"/>
      <c r="AI51" s="3229"/>
      <c r="AJ51" s="3229"/>
      <c r="AK51" s="3229"/>
      <c r="AL51" s="3229"/>
      <c r="AM51" s="3229"/>
      <c r="AN51" s="3280"/>
      <c r="AO51" s="3280"/>
      <c r="AP51" s="3229"/>
      <c r="AQ51" s="3229"/>
      <c r="AR51" s="3229"/>
      <c r="AS51" s="3229"/>
      <c r="AT51" s="3229"/>
      <c r="AU51" s="3229"/>
      <c r="AV51" s="3229"/>
      <c r="AW51" s="3229"/>
      <c r="AX51" s="3229"/>
      <c r="AY51" s="3229"/>
      <c r="AZ51" s="3229"/>
      <c r="BA51" s="3229"/>
      <c r="BB51" s="3230"/>
      <c r="BC51" s="1302"/>
      <c r="BE51" s="434"/>
      <c r="BF51" s="434" t="str">
        <f t="shared" si="3"/>
        <v/>
      </c>
      <c r="BG51" s="434"/>
      <c r="BH51" s="434"/>
      <c r="BI51" s="445">
        <v>0</v>
      </c>
    </row>
    <row r="52" spans="1:61" ht="11.5" customHeight="1">
      <c r="A52" s="1280" t="s">
        <v>296</v>
      </c>
      <c r="B52" s="1280" t="s">
        <v>297</v>
      </c>
      <c r="C52" s="1280" t="s">
        <v>298</v>
      </c>
      <c r="D52" s="1280" t="s">
        <v>577</v>
      </c>
      <c r="E52" s="3200"/>
      <c r="F52" s="3200"/>
      <c r="G52" s="3200"/>
      <c r="H52" s="3200"/>
      <c r="I52" s="3220"/>
      <c r="J52" s="3220"/>
      <c r="K52" s="3197" t="str">
        <f>S48&amp;".1"</f>
        <v>...1</v>
      </c>
      <c r="L52" s="1281"/>
      <c r="P52" s="3198"/>
      <c r="Q52" s="3198"/>
      <c r="R52" s="291">
        <v>1</v>
      </c>
      <c r="S52" s="3257" t="str">
        <f>$K52</f>
        <v>...1</v>
      </c>
      <c r="T52" s="3276"/>
      <c r="U52" s="235"/>
      <c r="V52" s="685"/>
      <c r="W52" s="1174"/>
      <c r="X52" s="685"/>
      <c r="Y52" s="1174"/>
      <c r="Z52" s="1650"/>
      <c r="AA52" s="1386" t="s">
        <v>67</v>
      </c>
      <c r="AB52" s="1650"/>
      <c r="AC52" s="1386" t="s">
        <v>67</v>
      </c>
      <c r="AD52" s="3078" t="s">
        <v>67</v>
      </c>
      <c r="AE52" s="3242"/>
      <c r="AF52" s="3155">
        <v>1</v>
      </c>
      <c r="AG52" s="3279"/>
      <c r="AH52" s="3048" t="s">
        <v>67</v>
      </c>
      <c r="AI52" s="3242"/>
      <c r="AJ52" s="3155">
        <v>1</v>
      </c>
      <c r="AK52" s="3243" t="s">
        <v>28</v>
      </c>
      <c r="AL52" s="3048" t="s">
        <v>67</v>
      </c>
      <c r="AM52" s="3145"/>
      <c r="AN52" s="3155">
        <v>1</v>
      </c>
      <c r="AO52" s="3273"/>
      <c r="AP52" s="3274" t="s">
        <v>67</v>
      </c>
      <c r="AQ52" s="246"/>
      <c r="AR52" s="1403">
        <v>1</v>
      </c>
      <c r="AS52" s="1409" t="s">
        <v>28</v>
      </c>
      <c r="AT52" s="685"/>
      <c r="AU52" s="1174"/>
      <c r="AV52" s="685"/>
      <c r="AW52" s="1174"/>
      <c r="AX52" s="1650"/>
      <c r="AY52" s="1386" t="s">
        <v>67</v>
      </c>
      <c r="AZ52" s="1650"/>
      <c r="BA52" s="1386" t="s">
        <v>67</v>
      </c>
      <c r="BB52" s="1265"/>
      <c r="BC52" s="3194" t="s">
        <v>534</v>
      </c>
      <c r="BE52" s="434"/>
      <c r="BF52" s="434" t="str">
        <f t="shared" si="3"/>
        <v/>
      </c>
      <c r="BG52" s="434"/>
      <c r="BH52" s="434"/>
      <c r="BI52" s="1072">
        <v>11</v>
      </c>
    </row>
    <row r="53" spans="1:61" ht="11.5" customHeight="1">
      <c r="A53" s="1280"/>
      <c r="B53" s="1280"/>
      <c r="C53" s="1280"/>
      <c r="D53" s="1280"/>
      <c r="E53" s="3200"/>
      <c r="F53" s="3200"/>
      <c r="G53" s="3200"/>
      <c r="H53" s="3200"/>
      <c r="I53" s="3220"/>
      <c r="J53" s="3220"/>
      <c r="K53" s="3197"/>
      <c r="L53" s="1281"/>
      <c r="P53" s="3198"/>
      <c r="Q53" s="3198"/>
      <c r="R53" s="291"/>
      <c r="S53" s="3258"/>
      <c r="T53" s="3277"/>
      <c r="U53" s="235"/>
      <c r="V53" s="1310"/>
      <c r="W53" s="1413"/>
      <c r="X53" s="1310"/>
      <c r="Y53" s="1413"/>
      <c r="Z53" s="1310"/>
      <c r="AA53" s="1310"/>
      <c r="AB53" s="1310"/>
      <c r="AC53" s="1310"/>
      <c r="AD53" s="3079"/>
      <c r="AE53" s="3242"/>
      <c r="AF53" s="3155"/>
      <c r="AG53" s="3279"/>
      <c r="AH53" s="3048"/>
      <c r="AI53" s="3242"/>
      <c r="AJ53" s="3155"/>
      <c r="AK53" s="3243"/>
      <c r="AL53" s="3048"/>
      <c r="AM53" s="3150"/>
      <c r="AN53" s="3155"/>
      <c r="AO53" s="3273"/>
      <c r="AP53" s="3275"/>
      <c r="AQ53" s="251"/>
      <c r="AR53" s="350"/>
      <c r="AS53" s="350" t="s">
        <v>535</v>
      </c>
      <c r="AT53" s="1310"/>
      <c r="AU53" s="1413"/>
      <c r="AV53" s="1310"/>
      <c r="AW53" s="1413"/>
      <c r="AX53" s="1310"/>
      <c r="AY53" s="1310"/>
      <c r="AZ53" s="1310"/>
      <c r="BA53" s="1310"/>
      <c r="BB53" s="1314"/>
      <c r="BC53" s="3195"/>
      <c r="BE53" s="434"/>
      <c r="BF53" s="434"/>
      <c r="BG53" s="434"/>
      <c r="BH53" s="434"/>
      <c r="BI53" s="1072">
        <v>11</v>
      </c>
    </row>
    <row r="54" spans="1:61" ht="11.5" customHeight="1">
      <c r="A54" s="1280" t="s">
        <v>296</v>
      </c>
      <c r="B54" s="1280"/>
      <c r="C54" s="1280"/>
      <c r="D54" s="1280"/>
      <c r="E54" s="3200"/>
      <c r="F54" s="3200"/>
      <c r="G54" s="3200"/>
      <c r="H54" s="3200"/>
      <c r="I54" s="3220"/>
      <c r="J54" s="3220"/>
      <c r="K54" s="3197"/>
      <c r="L54" s="1281"/>
      <c r="P54" s="3198"/>
      <c r="Q54" s="3198"/>
      <c r="R54" s="291"/>
      <c r="S54" s="3258"/>
      <c r="T54" s="3277"/>
      <c r="U54" s="235"/>
      <c r="V54" s="1310"/>
      <c r="W54" s="1413"/>
      <c r="X54" s="1310"/>
      <c r="Y54" s="1413"/>
      <c r="Z54" s="1310"/>
      <c r="AA54" s="1310"/>
      <c r="AB54" s="1310"/>
      <c r="AC54" s="1310"/>
      <c r="AD54" s="3079"/>
      <c r="AE54" s="3242"/>
      <c r="AF54" s="3155"/>
      <c r="AG54" s="3279"/>
      <c r="AH54" s="3048"/>
      <c r="AI54" s="3242"/>
      <c r="AJ54" s="3155"/>
      <c r="AK54" s="3243"/>
      <c r="AL54" s="3048"/>
      <c r="AM54" s="251"/>
      <c r="AN54" s="1417"/>
      <c r="AO54" s="1417" t="s">
        <v>536</v>
      </c>
      <c r="AP54" s="350"/>
      <c r="AQ54" s="350"/>
      <c r="AR54" s="350"/>
      <c r="AS54" s="1310"/>
      <c r="AT54" s="1310"/>
      <c r="AU54" s="1413"/>
      <c r="AV54" s="1310"/>
      <c r="AW54" s="1413"/>
      <c r="AX54" s="1310"/>
      <c r="AY54" s="1310"/>
      <c r="AZ54" s="1310"/>
      <c r="BA54" s="1310"/>
      <c r="BB54" s="1314"/>
      <c r="BC54" s="3195"/>
      <c r="BE54" s="434"/>
      <c r="BF54" s="434"/>
      <c r="BG54" s="434"/>
      <c r="BH54" s="434"/>
      <c r="BI54" s="1072">
        <v>11</v>
      </c>
    </row>
    <row r="55" spans="1:61" ht="11.5" customHeight="1">
      <c r="A55" s="1280" t="s">
        <v>296</v>
      </c>
      <c r="B55" s="1280"/>
      <c r="C55" s="1280"/>
      <c r="D55" s="1280"/>
      <c r="E55" s="3200"/>
      <c r="F55" s="3200"/>
      <c r="G55" s="3200"/>
      <c r="H55" s="3200"/>
      <c r="I55" s="3220"/>
      <c r="J55" s="3220"/>
      <c r="K55" s="3197"/>
      <c r="L55" s="1281"/>
      <c r="P55" s="3198"/>
      <c r="Q55" s="3198"/>
      <c r="R55" s="291"/>
      <c r="S55" s="3258"/>
      <c r="T55" s="3277"/>
      <c r="U55" s="235"/>
      <c r="V55" s="1310"/>
      <c r="W55" s="1413"/>
      <c r="X55" s="1310"/>
      <c r="Y55" s="1413"/>
      <c r="Z55" s="1310"/>
      <c r="AA55" s="1310"/>
      <c r="AB55" s="1310"/>
      <c r="AC55" s="1310"/>
      <c r="AD55" s="3079"/>
      <c r="AE55" s="3242"/>
      <c r="AF55" s="3155"/>
      <c r="AG55" s="3279"/>
      <c r="AH55" s="3048"/>
      <c r="AI55" s="229"/>
      <c r="AJ55" s="349"/>
      <c r="AK55" s="248" t="s">
        <v>537</v>
      </c>
      <c r="AL55" s="1310"/>
      <c r="AM55" s="1310"/>
      <c r="AN55" s="1310"/>
      <c r="AO55" s="1310"/>
      <c r="AP55" s="1310"/>
      <c r="AQ55" s="1310"/>
      <c r="AR55" s="1310"/>
      <c r="AS55" s="1310"/>
      <c r="AT55" s="1310"/>
      <c r="AU55" s="1413"/>
      <c r="AV55" s="1310"/>
      <c r="AW55" s="1413"/>
      <c r="AX55" s="1310"/>
      <c r="AY55" s="1310"/>
      <c r="AZ55" s="1310"/>
      <c r="BA55" s="1310"/>
      <c r="BB55" s="1314"/>
      <c r="BC55" s="3195"/>
      <c r="BE55" s="434"/>
      <c r="BF55" s="434"/>
      <c r="BG55" s="434"/>
      <c r="BH55" s="434"/>
      <c r="BI55" s="1072">
        <v>11</v>
      </c>
    </row>
    <row r="56" spans="1:61" ht="11.5" customHeight="1">
      <c r="A56" s="1280" t="s">
        <v>296</v>
      </c>
      <c r="B56" s="1280" t="s">
        <v>297</v>
      </c>
      <c r="C56" s="1280" t="s">
        <v>298</v>
      </c>
      <c r="D56" s="1280" t="s">
        <v>577</v>
      </c>
      <c r="E56" s="3200"/>
      <c r="F56" s="3200"/>
      <c r="G56" s="3200"/>
      <c r="H56" s="3200"/>
      <c r="I56" s="3220"/>
      <c r="J56" s="3220"/>
      <c r="K56" s="3197"/>
      <c r="L56" s="1281"/>
      <c r="P56" s="3198"/>
      <c r="Q56" s="3198"/>
      <c r="R56" s="291"/>
      <c r="S56" s="3259"/>
      <c r="T56" s="3278"/>
      <c r="U56" s="235"/>
      <c r="V56" s="1310"/>
      <c r="W56" s="1311" t="str">
        <f>Z52&amp;"-"&amp;AB52</f>
        <v>-</v>
      </c>
      <c r="X56" s="1310"/>
      <c r="Y56" s="1311" t="str">
        <f>AB52&amp;"-"&amp;AD52</f>
        <v>-да</v>
      </c>
      <c r="Z56" s="1310"/>
      <c r="AA56" s="1310"/>
      <c r="AB56" s="1310"/>
      <c r="AC56" s="1310"/>
      <c r="AD56" s="3053"/>
      <c r="AE56" s="247"/>
      <c r="AF56" s="249"/>
      <c r="AG56" s="350" t="s">
        <v>538</v>
      </c>
      <c r="AH56" s="1310"/>
      <c r="AI56" s="1310"/>
      <c r="AJ56" s="1310"/>
      <c r="AK56" s="1310"/>
      <c r="AL56" s="1310"/>
      <c r="AM56" s="1310"/>
      <c r="AN56" s="1310"/>
      <c r="AO56" s="1310"/>
      <c r="AP56" s="1310"/>
      <c r="AQ56" s="1310"/>
      <c r="AR56" s="1310"/>
      <c r="AS56" s="1310"/>
      <c r="AT56" s="1310"/>
      <c r="AU56" s="1311" t="str">
        <f>AX52&amp;"-"&amp;AZ52</f>
        <v>-</v>
      </c>
      <c r="AV56" s="1310"/>
      <c r="AW56" s="1311" t="str">
        <f>AZ52&amp;"-"&amp;BB52</f>
        <v>-</v>
      </c>
      <c r="AX56" s="1310"/>
      <c r="AY56" s="1310"/>
      <c r="AZ56" s="1310"/>
      <c r="BA56" s="1310"/>
      <c r="BB56" s="1313" t="str">
        <f>BE52&amp;"-"&amp;BG52</f>
        <v>-</v>
      </c>
      <c r="BC56" s="3195"/>
      <c r="BE56" s="434"/>
      <c r="BF56" s="434" t="str">
        <f t="shared" ref="BF56:BF63" si="4">IF(T56="","",T56)</f>
        <v/>
      </c>
      <c r="BG56" s="434"/>
      <c r="BH56" s="434"/>
      <c r="BI56" s="1072">
        <v>11</v>
      </c>
    </row>
    <row r="57" spans="1:61" ht="11.5" customHeight="1">
      <c r="A57" s="1280" t="s">
        <v>296</v>
      </c>
      <c r="B57" s="1280" t="s">
        <v>297</v>
      </c>
      <c r="C57" s="1280" t="s">
        <v>298</v>
      </c>
      <c r="D57" s="1280" t="s">
        <v>577</v>
      </c>
      <c r="E57" s="3200"/>
      <c r="F57" s="3200"/>
      <c r="G57" s="3200"/>
      <c r="H57" s="3200"/>
      <c r="I57" s="3220"/>
      <c r="J57" s="3197"/>
      <c r="K57" s="1280"/>
      <c r="L57" s="1281"/>
      <c r="P57" s="3198"/>
      <c r="Q57" s="3198"/>
      <c r="R57" s="290"/>
      <c r="S57" s="1195"/>
      <c r="T57" s="222" t="s">
        <v>501</v>
      </c>
      <c r="U57" s="301"/>
      <c r="V57" s="301"/>
      <c r="W57" s="301"/>
      <c r="X57" s="301"/>
      <c r="Y57" s="301"/>
      <c r="Z57" s="301"/>
      <c r="AA57" s="301"/>
      <c r="AB57" s="301"/>
      <c r="AC57" s="259"/>
      <c r="AD57" s="1422"/>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259"/>
      <c r="BC57" s="3196"/>
      <c r="BE57" s="434"/>
      <c r="BF57" s="434" t="str">
        <f t="shared" si="4"/>
        <v>Добавить строку</v>
      </c>
      <c r="BG57" s="434"/>
      <c r="BH57" s="434"/>
      <c r="BI57" s="1072">
        <v>11</v>
      </c>
    </row>
    <row r="58" spans="1:61" s="2017" customFormat="1" ht="0" hidden="1" customHeight="1">
      <c r="A58" s="1260" t="s">
        <v>296</v>
      </c>
      <c r="B58" s="1260" t="s">
        <v>297</v>
      </c>
      <c r="C58" s="1260" t="s">
        <v>298</v>
      </c>
      <c r="D58" s="1260" t="s">
        <v>577</v>
      </c>
      <c r="E58" s="3200"/>
      <c r="F58" s="3200"/>
      <c r="G58" s="3200"/>
      <c r="H58" s="3200"/>
      <c r="I58" s="3197"/>
      <c r="J58" s="1260"/>
      <c r="K58" s="1260"/>
      <c r="L58" s="1263"/>
      <c r="M58" s="444"/>
      <c r="N58" s="444"/>
      <c r="O58" s="444"/>
      <c r="P58" s="3198"/>
      <c r="Q58" s="1398"/>
      <c r="R58" s="290"/>
      <c r="S58" s="1303"/>
      <c r="T58" s="1304"/>
      <c r="U58" s="1305"/>
      <c r="V58" s="1305"/>
      <c r="W58" s="1305"/>
      <c r="X58" s="1305"/>
      <c r="Y58" s="1305"/>
      <c r="Z58" s="1305"/>
      <c r="AA58" s="1305"/>
      <c r="AB58" s="1305"/>
      <c r="AC58" s="1305"/>
      <c r="AD58" s="1305"/>
      <c r="AE58" s="1305"/>
      <c r="AF58" s="1305"/>
      <c r="AG58" s="1305"/>
      <c r="AH58" s="1305"/>
      <c r="AI58" s="1305"/>
      <c r="AJ58" s="1305"/>
      <c r="AK58" s="1305"/>
      <c r="AL58" s="1305"/>
      <c r="AM58" s="1305"/>
      <c r="AN58" s="1305"/>
      <c r="AO58" s="1305"/>
      <c r="AP58" s="1305"/>
      <c r="AQ58" s="1305"/>
      <c r="AR58" s="1305"/>
      <c r="AS58" s="1305"/>
      <c r="AT58" s="1305"/>
      <c r="AU58" s="1305"/>
      <c r="AV58" s="1305"/>
      <c r="AW58" s="1305"/>
      <c r="AX58" s="1305"/>
      <c r="AY58" s="1305"/>
      <c r="AZ58" s="1305"/>
      <c r="BA58" s="1305"/>
      <c r="BB58" s="1305"/>
      <c r="BC58" s="1306"/>
      <c r="BE58" s="434"/>
      <c r="BF58" s="434" t="str">
        <f t="shared" si="4"/>
        <v/>
      </c>
      <c r="BG58" s="434"/>
      <c r="BH58" s="434"/>
      <c r="BI58" s="445">
        <v>0</v>
      </c>
    </row>
    <row r="59" spans="1:61" s="2017" customFormat="1" ht="0" hidden="1" customHeight="1">
      <c r="A59" s="1260" t="s">
        <v>296</v>
      </c>
      <c r="B59" s="1260" t="s">
        <v>297</v>
      </c>
      <c r="C59" s="1260" t="s">
        <v>298</v>
      </c>
      <c r="D59" s="1260" t="s">
        <v>577</v>
      </c>
      <c r="E59" s="3200"/>
      <c r="F59" s="3200"/>
      <c r="G59" s="3200"/>
      <c r="H59" s="3199"/>
      <c r="I59" s="1260"/>
      <c r="J59" s="1260"/>
      <c r="K59" s="1260"/>
      <c r="L59" s="1263"/>
      <c r="M59" s="1232"/>
      <c r="N59" s="1232"/>
      <c r="O59" s="452"/>
      <c r="P59" s="314"/>
      <c r="Q59" s="1261"/>
      <c r="R59" s="1318"/>
      <c r="S59" s="1303"/>
      <c r="T59" s="1304"/>
      <c r="U59" s="1305"/>
      <c r="V59" s="1305"/>
      <c r="W59" s="1305"/>
      <c r="X59" s="1305"/>
      <c r="Y59" s="1305"/>
      <c r="Z59" s="1305"/>
      <c r="AA59" s="1305"/>
      <c r="AB59" s="1305"/>
      <c r="AC59" s="1305"/>
      <c r="AD59" s="1305"/>
      <c r="AE59" s="1305"/>
      <c r="AF59" s="1305"/>
      <c r="AG59" s="1305"/>
      <c r="AH59" s="1305"/>
      <c r="AI59" s="1305"/>
      <c r="AJ59" s="1305"/>
      <c r="AK59" s="1305"/>
      <c r="AL59" s="1305"/>
      <c r="AM59" s="1305"/>
      <c r="AN59" s="1305"/>
      <c r="AO59" s="1305"/>
      <c r="AP59" s="1305"/>
      <c r="AQ59" s="1305"/>
      <c r="AR59" s="1305"/>
      <c r="AS59" s="1305"/>
      <c r="AT59" s="1305"/>
      <c r="AU59" s="1305"/>
      <c r="AV59" s="1305"/>
      <c r="AW59" s="1305"/>
      <c r="AX59" s="1305"/>
      <c r="AY59" s="1305"/>
      <c r="AZ59" s="1305"/>
      <c r="BA59" s="1305"/>
      <c r="BB59" s="1305"/>
      <c r="BC59" s="1306"/>
      <c r="BE59" s="434"/>
      <c r="BF59" s="434" t="str">
        <f t="shared" si="4"/>
        <v/>
      </c>
      <c r="BG59" s="434"/>
      <c r="BH59" s="434"/>
      <c r="BI59" s="445">
        <v>0</v>
      </c>
    </row>
    <row r="60" spans="1:61" s="2017" customFormat="1" ht="0" hidden="1" customHeight="1">
      <c r="A60" s="1260" t="s">
        <v>296</v>
      </c>
      <c r="B60" s="1260" t="s">
        <v>297</v>
      </c>
      <c r="C60" s="1260" t="s">
        <v>298</v>
      </c>
      <c r="D60" s="1231"/>
      <c r="E60" s="3200"/>
      <c r="F60" s="3200"/>
      <c r="G60" s="3199"/>
      <c r="H60" s="1231"/>
      <c r="I60" s="1231"/>
      <c r="J60" s="1231"/>
      <c r="K60" s="1231"/>
      <c r="L60" s="1411"/>
      <c r="M60" s="1232"/>
      <c r="N60" s="1232"/>
      <c r="P60" s="1233"/>
      <c r="Q60" s="1234"/>
      <c r="R60" s="1233"/>
      <c r="S60" s="1239"/>
      <c r="T60" s="1242"/>
      <c r="U60" s="1241"/>
      <c r="V60" s="1241"/>
      <c r="W60" s="1241"/>
      <c r="X60" s="1241"/>
      <c r="Y60" s="1241"/>
      <c r="Z60" s="1241"/>
      <c r="AA60" s="1241"/>
      <c r="AB60" s="1241"/>
      <c r="AC60" s="1241"/>
      <c r="AD60" s="1241"/>
      <c r="AE60" s="1241"/>
      <c r="AF60" s="1241"/>
      <c r="AG60" s="1241"/>
      <c r="AH60" s="1241"/>
      <c r="AI60" s="1241"/>
      <c r="AJ60" s="1241"/>
      <c r="AK60" s="1241"/>
      <c r="AL60" s="1241"/>
      <c r="AM60" s="1241"/>
      <c r="AN60" s="1241"/>
      <c r="AO60" s="1241"/>
      <c r="AP60" s="1241"/>
      <c r="AQ60" s="1241"/>
      <c r="AR60" s="1241"/>
      <c r="AS60" s="1241"/>
      <c r="AT60" s="1241"/>
      <c r="AU60" s="1241"/>
      <c r="AV60" s="1241"/>
      <c r="AW60" s="1241"/>
      <c r="AX60" s="1241"/>
      <c r="AY60" s="1241"/>
      <c r="AZ60" s="1241"/>
      <c r="BA60" s="1241"/>
      <c r="BB60" s="1241"/>
      <c r="BC60" s="1241"/>
      <c r="BE60" s="717"/>
      <c r="BF60" s="717" t="str">
        <f t="shared" si="4"/>
        <v/>
      </c>
      <c r="BG60" s="717"/>
      <c r="BH60" s="717"/>
      <c r="BI60" s="452">
        <v>0</v>
      </c>
    </row>
    <row r="61" spans="1:61" s="2017" customFormat="1" ht="0" hidden="1" customHeight="1">
      <c r="A61" s="1260" t="s">
        <v>296</v>
      </c>
      <c r="B61" s="1260" t="s">
        <v>297</v>
      </c>
      <c r="C61" s="1231"/>
      <c r="D61" s="1231"/>
      <c r="E61" s="3200"/>
      <c r="F61" s="3199"/>
      <c r="G61" s="1231"/>
      <c r="H61" s="1231"/>
      <c r="I61" s="1231"/>
      <c r="J61" s="1231"/>
      <c r="K61" s="1231"/>
      <c r="L61" s="1411"/>
      <c r="M61" s="1238"/>
      <c r="N61" s="1238"/>
      <c r="P61" s="1233"/>
      <c r="Q61" s="1234"/>
      <c r="R61" s="1233"/>
      <c r="S61" s="1239"/>
      <c r="T61" s="1242" t="s">
        <v>181</v>
      </c>
      <c r="U61" s="1241"/>
      <c r="V61" s="1241"/>
      <c r="W61" s="1241"/>
      <c r="X61" s="1241"/>
      <c r="Y61" s="1241"/>
      <c r="Z61" s="1241"/>
      <c r="AA61" s="1241"/>
      <c r="AB61" s="1241"/>
      <c r="AC61" s="1241"/>
      <c r="AD61" s="1241"/>
      <c r="AE61" s="1241"/>
      <c r="AF61" s="1241"/>
      <c r="AG61" s="1241"/>
      <c r="AH61" s="1241"/>
      <c r="AI61" s="1241"/>
      <c r="AJ61" s="1241"/>
      <c r="AK61" s="1241"/>
      <c r="AL61" s="1241"/>
      <c r="AM61" s="1241"/>
      <c r="AN61" s="1241"/>
      <c r="AO61" s="1241"/>
      <c r="AP61" s="1241"/>
      <c r="AQ61" s="1241"/>
      <c r="AR61" s="1241"/>
      <c r="AS61" s="1241"/>
      <c r="AT61" s="1241"/>
      <c r="AU61" s="1241"/>
      <c r="AV61" s="1241"/>
      <c r="AW61" s="1241"/>
      <c r="AX61" s="1241"/>
      <c r="AY61" s="1241"/>
      <c r="AZ61" s="1241"/>
      <c r="BA61" s="1241"/>
      <c r="BB61" s="1241"/>
      <c r="BC61" s="1241"/>
      <c r="BE61" s="717"/>
      <c r="BF61" s="717" t="str">
        <f t="shared" si="4"/>
        <v>Добавить централизованную систему для дифференциации</v>
      </c>
      <c r="BG61" s="717"/>
      <c r="BH61" s="717"/>
      <c r="BI61" s="452">
        <v>0</v>
      </c>
    </row>
    <row r="62" spans="1:61" s="2017" customFormat="1" ht="0" hidden="1" customHeight="1">
      <c r="A62" s="1260" t="s">
        <v>296</v>
      </c>
      <c r="B62" s="1260"/>
      <c r="C62" s="1260"/>
      <c r="D62" s="1260"/>
      <c r="E62" s="3199"/>
      <c r="F62" s="1260"/>
      <c r="G62" s="1260"/>
      <c r="H62" s="1260"/>
      <c r="I62" s="1260"/>
      <c r="J62" s="1260"/>
      <c r="K62" s="1260"/>
      <c r="L62" s="1263"/>
      <c r="M62" s="1238"/>
      <c r="N62" s="1238"/>
      <c r="O62" s="452"/>
      <c r="P62" s="314"/>
      <c r="Q62" s="1261"/>
      <c r="R62" s="314"/>
      <c r="S62" s="1239"/>
      <c r="T62" s="1242" t="s">
        <v>188</v>
      </c>
      <c r="U62" s="1241"/>
      <c r="V62" s="1241"/>
      <c r="W62" s="1241"/>
      <c r="X62" s="1241"/>
      <c r="Y62" s="1241"/>
      <c r="Z62" s="1241"/>
      <c r="AA62" s="1241"/>
      <c r="AB62" s="1241"/>
      <c r="AC62" s="1241"/>
      <c r="AD62" s="1241"/>
      <c r="AE62" s="1241"/>
      <c r="AF62" s="1241"/>
      <c r="AG62" s="1241"/>
      <c r="AH62" s="1241"/>
      <c r="AI62" s="1241"/>
      <c r="AJ62" s="1241"/>
      <c r="AK62" s="1241"/>
      <c r="AL62" s="1241"/>
      <c r="AM62" s="1241"/>
      <c r="AN62" s="1241"/>
      <c r="AO62" s="1241"/>
      <c r="AP62" s="1241"/>
      <c r="AQ62" s="1241"/>
      <c r="AR62" s="1241"/>
      <c r="AS62" s="1241"/>
      <c r="AT62" s="1241"/>
      <c r="AU62" s="1241"/>
      <c r="AV62" s="1241"/>
      <c r="AW62" s="1241"/>
      <c r="AX62" s="1241"/>
      <c r="AY62" s="1241"/>
      <c r="AZ62" s="1241"/>
      <c r="BA62" s="1241"/>
      <c r="BB62" s="1241"/>
      <c r="BC62" s="1241"/>
      <c r="BE62" s="434"/>
      <c r="BF62" s="434" t="str">
        <f t="shared" si="4"/>
        <v>Добавить территорию для дифференциации</v>
      </c>
      <c r="BG62" s="434"/>
      <c r="BH62" s="434"/>
      <c r="BI62" s="445">
        <v>0</v>
      </c>
    </row>
    <row r="63" spans="1:61" s="2017" customFormat="1" ht="0" hidden="1" customHeight="1">
      <c r="A63" s="1231"/>
      <c r="B63" s="1231"/>
      <c r="C63" s="1231"/>
      <c r="D63" s="1231"/>
      <c r="E63" s="1260"/>
      <c r="F63" s="1231"/>
      <c r="G63" s="1231"/>
      <c r="H63" s="1231"/>
      <c r="I63" s="1231"/>
      <c r="J63" s="1231"/>
      <c r="K63" s="1231"/>
      <c r="L63" s="1411"/>
      <c r="M63" s="1238"/>
      <c r="N63" s="1238"/>
      <c r="P63" s="1233"/>
      <c r="Q63" s="1234"/>
      <c r="R63" s="1233"/>
      <c r="S63" s="1239"/>
      <c r="T63" s="1242" t="s">
        <v>189</v>
      </c>
      <c r="U63" s="1241"/>
      <c r="V63" s="1241"/>
      <c r="W63" s="1241"/>
      <c r="X63" s="1241"/>
      <c r="Y63" s="1241"/>
      <c r="Z63" s="1241"/>
      <c r="AA63" s="1241"/>
      <c r="AB63" s="1241"/>
      <c r="AC63" s="1241"/>
      <c r="AD63" s="1241"/>
      <c r="AE63" s="1241"/>
      <c r="AF63" s="1241"/>
      <c r="AG63" s="1241"/>
      <c r="AH63" s="1241"/>
      <c r="AI63" s="1241"/>
      <c r="AJ63" s="1241"/>
      <c r="AK63" s="1241"/>
      <c r="AL63" s="1241"/>
      <c r="AM63" s="1241"/>
      <c r="AN63" s="1241"/>
      <c r="AO63" s="1241"/>
      <c r="AP63" s="1241"/>
      <c r="AQ63" s="1241"/>
      <c r="AR63" s="1241"/>
      <c r="AS63" s="1241"/>
      <c r="AT63" s="1241"/>
      <c r="AU63" s="1241"/>
      <c r="AV63" s="1241"/>
      <c r="AW63" s="1241"/>
      <c r="AX63" s="1241"/>
      <c r="AY63" s="1241"/>
      <c r="AZ63" s="1241"/>
      <c r="BA63" s="1241"/>
      <c r="BB63" s="1241"/>
      <c r="BC63" s="1241"/>
      <c r="BE63" s="717"/>
      <c r="BF63" s="717" t="str">
        <f t="shared" si="4"/>
        <v>Добавить наименование тарифа</v>
      </c>
      <c r="BG63" s="717"/>
      <c r="BH63" s="717"/>
      <c r="BI63" s="452">
        <v>0</v>
      </c>
    </row>
    <row r="64" spans="1:61" ht="11.5" customHeight="1">
      <c r="M64" s="1077"/>
      <c r="N64" s="1077"/>
      <c r="O64" s="471"/>
      <c r="P64" s="1077"/>
      <c r="Q64" s="1077"/>
      <c r="R64" s="1072"/>
      <c r="S64" s="1072"/>
      <c r="BD64" s="1072"/>
      <c r="BE64" s="1072"/>
      <c r="BF64" s="1072"/>
      <c r="BG64" s="1072"/>
      <c r="BH64" s="1072"/>
      <c r="BI64" s="1072">
        <v>11</v>
      </c>
    </row>
    <row r="65" spans="1:61" ht="20" customHeight="1">
      <c r="O65" s="471"/>
      <c r="S65" s="1170"/>
      <c r="T65" s="3219"/>
      <c r="U65" s="3219"/>
      <c r="V65" s="3219"/>
      <c r="W65" s="3219"/>
      <c r="X65" s="3219"/>
      <c r="Y65" s="3219"/>
      <c r="Z65" s="3219"/>
      <c r="AA65" s="3219"/>
      <c r="AB65" s="3219"/>
      <c r="AC65" s="3219"/>
      <c r="AD65" s="3219"/>
      <c r="AE65" s="3219"/>
      <c r="AF65" s="3219"/>
      <c r="AG65" s="3219"/>
      <c r="AH65" s="3219"/>
      <c r="AI65" s="3219"/>
      <c r="AJ65" s="3219"/>
      <c r="AK65" s="3219"/>
      <c r="AL65" s="3219"/>
      <c r="AM65" s="3219"/>
      <c r="AN65" s="3219"/>
      <c r="AO65" s="3219"/>
      <c r="AP65" s="3219"/>
      <c r="AQ65" s="3219"/>
      <c r="AR65" s="3219"/>
      <c r="AS65" s="3219"/>
      <c r="AT65" s="3219"/>
      <c r="AU65" s="3219"/>
      <c r="AV65" s="3219"/>
      <c r="AW65" s="3219"/>
      <c r="AX65" s="3219"/>
      <c r="AY65" s="3219"/>
      <c r="AZ65" s="3219"/>
      <c r="BA65" s="3219"/>
      <c r="BB65" s="3219"/>
      <c r="BC65" s="3219"/>
      <c r="BI65" s="1072">
        <v>19</v>
      </c>
    </row>
    <row r="66" spans="1:61" ht="14.65" customHeight="1">
      <c r="O66" s="471"/>
      <c r="T66" s="1397"/>
      <c r="U66" s="1397"/>
      <c r="V66" s="1397"/>
      <c r="W66" s="1397"/>
      <c r="X66" s="1397"/>
      <c r="Y66" s="1397"/>
      <c r="Z66" s="1397"/>
      <c r="AA66" s="1397"/>
      <c r="AB66" s="1397"/>
      <c r="AC66" s="1397"/>
      <c r="AD66" s="1397"/>
      <c r="AE66" s="1397"/>
      <c r="AF66" s="1397"/>
      <c r="AG66" s="1397"/>
      <c r="AH66" s="1397"/>
      <c r="AI66" s="1397"/>
      <c r="AJ66" s="1397"/>
      <c r="AK66" s="1397"/>
      <c r="AL66" s="1397"/>
      <c r="AM66" s="1397"/>
      <c r="AN66" s="1397"/>
      <c r="AO66" s="1397"/>
      <c r="AP66" s="1397"/>
      <c r="AQ66" s="1397"/>
      <c r="AR66" s="1397"/>
      <c r="AS66" s="1397"/>
      <c r="AT66" s="1397"/>
      <c r="AU66" s="1397"/>
      <c r="AV66" s="1397"/>
      <c r="AW66" s="1397"/>
      <c r="AX66" s="1397"/>
      <c r="AY66" s="1397"/>
      <c r="AZ66" s="1397"/>
      <c r="BA66" s="1397"/>
      <c r="BB66" s="1397"/>
      <c r="BC66" s="1397"/>
      <c r="BI66" s="1072">
        <v>14</v>
      </c>
    </row>
    <row r="67" spans="1:61" ht="20" customHeight="1">
      <c r="O67" s="471"/>
      <c r="S67" s="1170"/>
      <c r="T67" s="3219"/>
      <c r="U67" s="3219"/>
      <c r="V67" s="3219"/>
      <c r="W67" s="3219"/>
      <c r="X67" s="3219"/>
      <c r="Y67" s="3219"/>
      <c r="Z67" s="3219"/>
      <c r="AA67" s="3219"/>
      <c r="AB67" s="3219"/>
      <c r="AC67" s="3219"/>
      <c r="AD67" s="3219"/>
      <c r="AE67" s="3219"/>
      <c r="AF67" s="3219"/>
      <c r="AG67" s="3219"/>
      <c r="AH67" s="3219"/>
      <c r="AI67" s="3219"/>
      <c r="AJ67" s="3219"/>
      <c r="AK67" s="3219"/>
      <c r="AL67" s="3219"/>
      <c r="AM67" s="3219"/>
      <c r="AN67" s="3219"/>
      <c r="AO67" s="3219"/>
      <c r="AP67" s="3219"/>
      <c r="AQ67" s="3219"/>
      <c r="AR67" s="3219"/>
      <c r="AS67" s="3219"/>
      <c r="AT67" s="3219"/>
      <c r="AU67" s="3219"/>
      <c r="AV67" s="3219"/>
      <c r="AW67" s="3219"/>
      <c r="AX67" s="3219"/>
      <c r="AY67" s="3219"/>
      <c r="AZ67" s="3219"/>
      <c r="BA67" s="3219"/>
      <c r="BB67" s="3219"/>
      <c r="BC67" s="3219"/>
      <c r="BI67" s="1072">
        <v>19</v>
      </c>
    </row>
    <row r="68" spans="1:61" ht="14.65" customHeight="1">
      <c r="O68" s="471"/>
      <c r="BI68" s="1072">
        <v>14</v>
      </c>
    </row>
    <row r="69" spans="1:61" ht="14.25" hidden="1" customHeight="1">
      <c r="A69" s="1077" t="s">
        <v>83</v>
      </c>
      <c r="B69" s="1077">
        <v>0</v>
      </c>
      <c r="C69" s="1077">
        <v>0</v>
      </c>
      <c r="D69" s="1077">
        <v>0</v>
      </c>
      <c r="E69" s="1077">
        <v>0</v>
      </c>
      <c r="F69" s="1077">
        <v>0</v>
      </c>
      <c r="G69" s="1077">
        <v>0</v>
      </c>
      <c r="H69" s="1077">
        <v>0</v>
      </c>
      <c r="I69" s="1077">
        <v>0</v>
      </c>
      <c r="J69" s="1077">
        <v>0</v>
      </c>
      <c r="K69" s="1077">
        <v>0</v>
      </c>
      <c r="L69" s="1395">
        <v>0</v>
      </c>
      <c r="M69" s="1279">
        <v>0</v>
      </c>
      <c r="N69" s="1279">
        <v>0</v>
      </c>
      <c r="O69" s="1279">
        <v>0</v>
      </c>
      <c r="P69" s="1279">
        <v>0</v>
      </c>
      <c r="Q69" s="1288">
        <v>0</v>
      </c>
      <c r="R69" s="279">
        <v>3</v>
      </c>
      <c r="S69" s="515">
        <v>12</v>
      </c>
      <c r="T69" s="1072">
        <v>31</v>
      </c>
      <c r="U69" s="1072">
        <v>0</v>
      </c>
      <c r="V69" s="1072">
        <v>0</v>
      </c>
      <c r="W69" s="1072">
        <v>0</v>
      </c>
      <c r="X69" s="1072">
        <v>0</v>
      </c>
      <c r="Y69" s="1072">
        <v>0</v>
      </c>
      <c r="Z69" s="1072">
        <v>0</v>
      </c>
      <c r="AA69" s="1072">
        <v>0</v>
      </c>
      <c r="AB69" s="1072">
        <v>0</v>
      </c>
      <c r="AC69" s="1072">
        <v>0</v>
      </c>
      <c r="AD69" s="1072">
        <v>3</v>
      </c>
      <c r="AE69" s="1072">
        <v>3</v>
      </c>
      <c r="AF69" s="1072">
        <v>3</v>
      </c>
      <c r="AG69" s="1072">
        <v>24</v>
      </c>
      <c r="AH69" s="1072">
        <v>3</v>
      </c>
      <c r="AI69" s="1072">
        <v>3</v>
      </c>
      <c r="AJ69" s="1072">
        <v>3</v>
      </c>
      <c r="AK69" s="1072">
        <v>24</v>
      </c>
      <c r="AL69" s="1072">
        <v>3</v>
      </c>
      <c r="AM69" s="1072">
        <v>3</v>
      </c>
      <c r="AN69" s="1072">
        <v>3</v>
      </c>
      <c r="AO69" s="1072">
        <v>18</v>
      </c>
      <c r="AP69" s="1072">
        <v>3</v>
      </c>
      <c r="AQ69" s="1072">
        <v>3</v>
      </c>
      <c r="AR69" s="1072">
        <v>3</v>
      </c>
      <c r="AS69" s="1072">
        <v>18</v>
      </c>
      <c r="AT69" s="1072">
        <v>21</v>
      </c>
      <c r="AU69" s="1072">
        <v>21</v>
      </c>
      <c r="AV69" s="1072">
        <v>21</v>
      </c>
      <c r="AW69" s="1072">
        <v>21</v>
      </c>
      <c r="AX69" s="1072">
        <v>11</v>
      </c>
      <c r="AY69" s="1072">
        <v>3</v>
      </c>
      <c r="AZ69" s="1072">
        <v>11</v>
      </c>
      <c r="BA69" s="1072">
        <v>0</v>
      </c>
      <c r="BB69" s="1072">
        <v>4</v>
      </c>
      <c r="BC69" s="1072">
        <v>115</v>
      </c>
      <c r="BD69" s="445">
        <v>10</v>
      </c>
      <c r="BE69" s="445">
        <v>10</v>
      </c>
      <c r="BF69" s="445">
        <v>10</v>
      </c>
      <c r="BG69" s="445">
        <v>10</v>
      </c>
      <c r="BH69" s="445">
        <v>10</v>
      </c>
      <c r="BI69" s="1072">
        <v>23</v>
      </c>
    </row>
  </sheetData>
  <sheetProtection formatColumns="0" formatRows="0" insertRows="0" deleteColumns="0" deleteRows="0" sort="0" autoFilter="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xr:uid="{00000000-0002-0000-1F00-000000000000}"/>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xr:uid="{00000000-0002-0000-1F00-000001000000}">
      <formula1>kind_of_cons</formula1>
    </dataValidation>
    <dataValidation type="decimal" allowBlank="1" showErrorMessage="1" errorTitle="Ошибка" error="Допускается ввод только действительных чисел!" sqref="AO52:AO53 AG8:AG11 AO8:AO9 AG52:AG55" xr:uid="{00000000-0002-0000-1F00-000002000000}">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xr:uid="{00000000-0002-0000-1F00-000003000000}"/>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xr:uid="{00000000-0002-0000-1F00-000004000000}">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xr:uid="{00000000-0002-0000-1F00-000005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xr:uid="{00000000-0002-0000-1F00-000006000000}"/>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xr:uid="{00000000-0002-0000-1F00-000007000000}">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xr:uid="{00000000-0002-0000-1F00-000008000000}">
      <formula1>kind_of_heat_transfer</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D8765E-E19C-3223-0268-BDFD1C8B6802}">
  <sheetPr>
    <tabColor theme="9" tint="-0.249977111117893"/>
  </sheetPr>
  <dimension ref="A1:AF303"/>
  <sheetViews>
    <sheetView showGridLines="0" topLeftCell="D20" zoomScale="90" workbookViewId="0"/>
  </sheetViews>
  <sheetFormatPr defaultColWidth="9.09765625" defaultRowHeight="11.25" customHeight="1"/>
  <cols>
    <col min="1" max="1" width="10.69921875" style="2982" hidden="1" customWidth="1"/>
    <col min="2" max="2" width="16.796875" style="2016" hidden="1" customWidth="1"/>
    <col min="3" max="3" width="5.59765625" style="2017" hidden="1" customWidth="1"/>
    <col min="4" max="4" width="3" style="2004" customWidth="1"/>
    <col min="5" max="5" width="7" style="2004" customWidth="1"/>
    <col min="6" max="6" width="54" style="2004" customWidth="1"/>
    <col min="7" max="7" width="10" style="2004" customWidth="1"/>
    <col min="8" max="8" width="40.69921875" style="2004" hidden="1" customWidth="1"/>
    <col min="9" max="9" width="40.69921875" style="2004" customWidth="1"/>
    <col min="10" max="10" width="102" style="2004" customWidth="1"/>
    <col min="11" max="11" width="9" style="2016" customWidth="1"/>
    <col min="12" max="12" width="5" style="2017" customWidth="1"/>
    <col min="13" max="13" width="3" style="2017" customWidth="1"/>
    <col min="14" max="17" width="3" style="2016" customWidth="1"/>
    <col min="18" max="18" width="10" style="2017" customWidth="1"/>
    <col min="19" max="19" width="34" style="2016" customWidth="1"/>
    <col min="20" max="20" width="9" style="2016" customWidth="1"/>
    <col min="21" max="21" width="8" style="2983" customWidth="1"/>
    <col min="22" max="26" width="8" style="2016" customWidth="1"/>
    <col min="27" max="31" width="8" style="2002" customWidth="1"/>
    <col min="32" max="32" width="9.09765625" style="2004" hidden="1"/>
  </cols>
  <sheetData>
    <row r="1" spans="1:32" ht="22.5" hidden="1" customHeight="1">
      <c r="AF1" s="1548" t="s">
        <v>14</v>
      </c>
    </row>
    <row r="2" spans="1:32" ht="23.25" hidden="1" customHeight="1">
      <c r="B2" s="3042"/>
      <c r="C2" s="1084" t="s">
        <v>578</v>
      </c>
      <c r="D2" s="1555"/>
      <c r="E2" s="480">
        <f>B2</f>
        <v>0</v>
      </c>
      <c r="F2" s="481"/>
      <c r="G2" s="1563" t="s">
        <v>579</v>
      </c>
      <c r="H2" s="1563" t="s">
        <v>579</v>
      </c>
      <c r="I2" s="1563" t="s">
        <v>579</v>
      </c>
      <c r="J2" s="224" t="s">
        <v>580</v>
      </c>
      <c r="K2" s="477"/>
      <c r="AF2" s="1548">
        <v>0</v>
      </c>
    </row>
    <row r="3" spans="1:32" s="2017" customFormat="1" ht="0.75" hidden="1" customHeight="1">
      <c r="B3" s="3042"/>
      <c r="C3" s="1084"/>
      <c r="D3" s="482"/>
      <c r="E3" s="483"/>
      <c r="F3" s="484" t="s">
        <v>581</v>
      </c>
      <c r="G3" s="485"/>
      <c r="H3" s="485">
        <f>H4*H5+H7</f>
        <v>0</v>
      </c>
      <c r="I3" s="485">
        <f>I4*I5+I6</f>
        <v>0</v>
      </c>
      <c r="J3" s="486"/>
      <c r="AF3" s="1553">
        <v>0</v>
      </c>
    </row>
    <row r="4" spans="1:32" ht="23.25" hidden="1" customHeight="1">
      <c r="B4" s="3042"/>
      <c r="C4" s="1084"/>
      <c r="D4" s="1555"/>
      <c r="E4" s="480" t="str">
        <f>B2&amp;".1"</f>
        <v>.1</v>
      </c>
      <c r="F4" s="487" t="s">
        <v>582</v>
      </c>
      <c r="G4" s="488"/>
      <c r="H4" s="475"/>
      <c r="I4" s="475"/>
      <c r="J4" s="224" t="s">
        <v>583</v>
      </c>
      <c r="K4" s="477"/>
      <c r="AF4" s="1548">
        <v>0</v>
      </c>
    </row>
    <row r="5" spans="1:32" ht="18.75" hidden="1" customHeight="1">
      <c r="B5" s="3042"/>
      <c r="C5" s="1084"/>
      <c r="D5" s="1555"/>
      <c r="E5" s="480" t="str">
        <f>B2&amp;".2"</f>
        <v>.2</v>
      </c>
      <c r="F5" s="487" t="s">
        <v>584</v>
      </c>
      <c r="G5" s="1563" t="s">
        <v>585</v>
      </c>
      <c r="H5" s="475"/>
      <c r="I5" s="475"/>
      <c r="J5" s="224"/>
      <c r="K5" s="477"/>
      <c r="AF5" s="1548">
        <v>0</v>
      </c>
    </row>
    <row r="6" spans="1:32" ht="18.75" hidden="1" customHeight="1">
      <c r="B6" s="3042"/>
      <c r="C6" s="1084"/>
      <c r="D6" s="1555"/>
      <c r="E6" s="480" t="str">
        <f>B2&amp;".3"</f>
        <v>.3</v>
      </c>
      <c r="F6" s="487" t="s">
        <v>586</v>
      </c>
      <c r="G6" s="1563" t="s">
        <v>585</v>
      </c>
      <c r="H6" s="475"/>
      <c r="I6" s="475"/>
      <c r="J6" s="224"/>
      <c r="K6" s="477"/>
      <c r="AF6" s="1548">
        <v>0</v>
      </c>
    </row>
    <row r="7" spans="1:32" ht="18.75" hidden="1" customHeight="1">
      <c r="B7" s="3042"/>
      <c r="C7" s="1084"/>
      <c r="D7" s="1555"/>
      <c r="E7" s="480" t="str">
        <f>B2&amp;".4"</f>
        <v>.4</v>
      </c>
      <c r="F7" s="487" t="s">
        <v>587</v>
      </c>
      <c r="G7" s="1563" t="s">
        <v>579</v>
      </c>
      <c r="H7" s="489"/>
      <c r="I7" s="489"/>
      <c r="J7" s="224"/>
      <c r="K7" s="477"/>
      <c r="AF7" s="1548">
        <v>0</v>
      </c>
    </row>
    <row r="8" spans="1:32" s="2016" customFormat="1" ht="11.25" hidden="1" customHeight="1">
      <c r="A8" s="909"/>
      <c r="C8" s="1553"/>
      <c r="D8" s="471"/>
      <c r="H8" s="1077">
        <v>4</v>
      </c>
      <c r="I8" s="1077">
        <v>4</v>
      </c>
      <c r="L8" s="1553"/>
      <c r="M8" s="1553"/>
      <c r="R8" s="1553"/>
      <c r="AF8" s="1077">
        <v>0</v>
      </c>
    </row>
    <row r="9" spans="1:32" s="2016" customFormat="1" ht="22.5" hidden="1" customHeight="1">
      <c r="A9" s="909"/>
      <c r="C9" s="1553"/>
      <c r="D9" s="472"/>
      <c r="E9" s="1565"/>
      <c r="F9" s="474"/>
      <c r="G9" s="1563" t="s">
        <v>585</v>
      </c>
      <c r="H9" s="475"/>
      <c r="I9" s="475"/>
      <c r="J9" s="476" t="s">
        <v>588</v>
      </c>
      <c r="K9" s="477"/>
      <c r="L9" s="1553"/>
      <c r="M9" s="1553"/>
      <c r="R9" s="1553"/>
      <c r="U9" s="478"/>
      <c r="AA9" s="1549"/>
      <c r="AB9" s="1549"/>
      <c r="AC9" s="1549"/>
      <c r="AD9" s="1549"/>
      <c r="AE9" s="1549"/>
      <c r="AF9" s="1077">
        <v>0</v>
      </c>
    </row>
    <row r="10" spans="1:32" ht="11.25" hidden="1" customHeight="1">
      <c r="AF10" s="1548">
        <v>0</v>
      </c>
    </row>
    <row r="11" spans="1:32" ht="18.75" hidden="1" customHeight="1">
      <c r="D11" s="1555"/>
      <c r="E11" s="480"/>
      <c r="F11" s="474"/>
      <c r="G11" s="1563" t="s">
        <v>589</v>
      </c>
      <c r="H11" s="475"/>
      <c r="I11" s="475"/>
      <c r="J11" s="224" t="s">
        <v>590</v>
      </c>
      <c r="K11" s="477"/>
      <c r="AF11" s="1548">
        <v>0</v>
      </c>
    </row>
    <row r="12" spans="1:32" ht="11.25" hidden="1" customHeight="1">
      <c r="AF12" s="1548">
        <v>0</v>
      </c>
    </row>
    <row r="13" spans="1:32" ht="22.5" hidden="1" customHeight="1">
      <c r="D13" s="1555"/>
      <c r="E13" s="480"/>
      <c r="F13" s="474"/>
      <c r="G13" s="892" t="s">
        <v>591</v>
      </c>
      <c r="H13" s="479"/>
      <c r="I13" s="479"/>
      <c r="J13" s="679" t="s">
        <v>592</v>
      </c>
      <c r="K13" s="477"/>
      <c r="AF13" s="1548">
        <v>0</v>
      </c>
    </row>
    <row r="14" spans="1:32" ht="11.25" hidden="1" customHeight="1">
      <c r="AF14" s="1548">
        <v>0</v>
      </c>
    </row>
    <row r="15" spans="1:32" ht="22.5" hidden="1" customHeight="1">
      <c r="D15" s="1555"/>
      <c r="E15" s="480"/>
      <c r="F15" s="474"/>
      <c r="G15" s="1563" t="s">
        <v>593</v>
      </c>
      <c r="H15" s="479"/>
      <c r="I15" s="479"/>
      <c r="J15" s="224" t="s">
        <v>594</v>
      </c>
      <c r="K15" s="477"/>
      <c r="AF15" s="1548">
        <v>0</v>
      </c>
    </row>
    <row r="16" spans="1:32" ht="11.25" hidden="1" customHeight="1">
      <c r="AF16" s="1548">
        <v>0</v>
      </c>
    </row>
    <row r="17" spans="1:32" ht="22.5" hidden="1" customHeight="1">
      <c r="D17" s="1555"/>
      <c r="E17" s="480"/>
      <c r="F17" s="474"/>
      <c r="G17" s="1563" t="s">
        <v>595</v>
      </c>
      <c r="H17" s="479"/>
      <c r="I17" s="479"/>
      <c r="J17" s="224" t="s">
        <v>596</v>
      </c>
      <c r="K17" s="477"/>
      <c r="AF17" s="1548">
        <v>0</v>
      </c>
    </row>
    <row r="18" spans="1:32" ht="11.25" hidden="1" customHeight="1">
      <c r="AF18" s="1548">
        <v>0</v>
      </c>
    </row>
    <row r="19" spans="1:32" s="2002" customFormat="1" ht="11.25" hidden="1" customHeight="1">
      <c r="A19" s="909"/>
      <c r="B19" s="1077"/>
      <c r="C19" s="1553"/>
      <c r="D19" s="296"/>
      <c r="J19" s="1549">
        <v>4</v>
      </c>
      <c r="K19" s="1077"/>
      <c r="L19" s="1553"/>
      <c r="M19" s="1553"/>
      <c r="N19" s="1077"/>
      <c r="O19" s="1077"/>
      <c r="P19" s="1077"/>
      <c r="Q19" s="1077"/>
      <c r="R19" s="1553"/>
      <c r="S19" s="1077"/>
      <c r="T19" s="1077"/>
      <c r="U19" s="478"/>
      <c r="V19" s="1077"/>
      <c r="W19" s="1077"/>
      <c r="X19" s="1077"/>
      <c r="Y19" s="1077"/>
      <c r="Z19" s="1077"/>
      <c r="AF19" s="1549">
        <v>0</v>
      </c>
    </row>
    <row r="20" spans="1:32" ht="11.5" customHeight="1">
      <c r="AF20" s="1548">
        <v>11</v>
      </c>
    </row>
    <row r="21" spans="1:32" ht="25.25" customHeight="1">
      <c r="E21" s="3183"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3183"/>
      <c r="G21" s="3183"/>
      <c r="H21" s="3183"/>
      <c r="I21" s="3183"/>
      <c r="J21" s="490"/>
      <c r="AF21" s="1548">
        <v>24</v>
      </c>
    </row>
    <row r="22" spans="1:32" ht="25.25" customHeight="1">
      <c r="E22" s="3131" t="str">
        <f>IF(org=0,"Не определено",org)</f>
        <v>ООО "РСО"</v>
      </c>
      <c r="F22" s="3131"/>
      <c r="G22" s="3131"/>
      <c r="H22" s="3131"/>
      <c r="I22" s="3131"/>
      <c r="AF22" s="1548">
        <v>24</v>
      </c>
    </row>
    <row r="23" spans="1:32" ht="11.5" customHeight="1">
      <c r="E23" s="1052"/>
      <c r="F23" s="1052"/>
      <c r="G23" s="1052"/>
      <c r="H23" s="1052"/>
      <c r="I23" s="1052"/>
      <c r="AF23" s="1548">
        <v>11</v>
      </c>
    </row>
    <row r="24" spans="1:32" s="2017" customFormat="1" ht="1" customHeight="1">
      <c r="A24" s="1084"/>
      <c r="D24" s="1559"/>
      <c r="H24" s="812"/>
      <c r="I24" s="812" t="s">
        <v>131</v>
      </c>
      <c r="AF24" s="1553">
        <v>1</v>
      </c>
    </row>
    <row r="25" spans="1:32" ht="11.5" customHeight="1">
      <c r="E25" s="645"/>
      <c r="F25" s="3282" t="s">
        <v>120</v>
      </c>
      <c r="G25" s="3283"/>
      <c r="H25" s="1569" t="str">
        <f>IF(H24="","",INDEX(DIFFERENTIATION_UNMERGE_VD,MATCH(H24,DIFFERENTIATION_ID_DIFF,0)))</f>
        <v/>
      </c>
      <c r="I25" s="1569">
        <f>IF(I24="","",INDEX(DIFFERENTIATION_UNMERGE_VD,MATCH(I24,DIFFERENTIATION_ID_DIFF,0)))</f>
        <v>0</v>
      </c>
      <c r="J25" s="3067"/>
      <c r="AF25" s="1548">
        <v>11</v>
      </c>
    </row>
    <row r="26" spans="1:32" ht="11.5" customHeight="1">
      <c r="E26" s="645"/>
      <c r="F26" s="3282" t="s">
        <v>597</v>
      </c>
      <c r="G26" s="3283"/>
      <c r="H26" s="1569" t="str">
        <f>IF(H24="","",INDEX(DIFFERENTIATION_UNMERGE_AREA,MATCH(H24,DIFFERENTIATION_ID_DIFF,0)))</f>
        <v/>
      </c>
      <c r="I26" s="1569" t="str">
        <f>IF(I24="","",INDEX(DIFFERENTIATION_UNMERGE_AREA,MATCH(I24,DIFFERENTIATION_ID_DIFF,0)))</f>
        <v/>
      </c>
      <c r="J26" s="3067"/>
      <c r="AF26" s="1548">
        <v>11</v>
      </c>
    </row>
    <row r="27" spans="1:32" ht="11.5" customHeight="1">
      <c r="E27" s="645"/>
      <c r="F27" s="3282" t="s">
        <v>598</v>
      </c>
      <c r="G27" s="3283"/>
      <c r="H27" s="1569" t="str">
        <f>IF(H24="","",INDEX(DIFFERENTIATION_UNMERGE_SYSTEM,MATCH(H24,DIFFERENTIATION_ID_DIFF,0)))</f>
        <v/>
      </c>
      <c r="I27" s="1569" t="str">
        <f>IF(I24="","",INDEX(DIFFERENTIATION_UNMERGE_SYSTEM,MATCH(I24,DIFFERENTIATION_ID_DIFF,0)))</f>
        <v>без дифференциации</v>
      </c>
      <c r="J27" s="3067"/>
      <c r="AF27" s="1548">
        <v>11</v>
      </c>
    </row>
    <row r="28" spans="1:32" ht="11.5" customHeight="1">
      <c r="E28" s="3284" t="s">
        <v>335</v>
      </c>
      <c r="F28" s="3285"/>
      <c r="G28" s="3285"/>
      <c r="H28" s="1562"/>
      <c r="I28" s="1562"/>
      <c r="J28" s="3067"/>
      <c r="AF28" s="1548">
        <v>11</v>
      </c>
    </row>
    <row r="29" spans="1:32" ht="24" customHeight="1">
      <c r="E29" s="1563" t="s">
        <v>89</v>
      </c>
      <c r="F29" s="1570" t="s">
        <v>337</v>
      </c>
      <c r="G29" s="1570" t="s">
        <v>599</v>
      </c>
      <c r="H29" s="1570" t="s">
        <v>338</v>
      </c>
      <c r="I29" s="1570" t="s">
        <v>338</v>
      </c>
      <c r="J29" s="3067"/>
      <c r="AF29" s="1548">
        <v>23</v>
      </c>
    </row>
    <row r="30" spans="1:32" ht="20" customHeight="1">
      <c r="D30" s="1555"/>
      <c r="E30" s="480">
        <f>FHD_NUM_P_1</f>
        <v>1</v>
      </c>
      <c r="F30" s="1794" t="str">
        <f>FHD_P_1</f>
        <v>Выручка от регулируемого вида деятельности с распределением по видам деятельности</v>
      </c>
      <c r="G30" s="1792" t="s">
        <v>585</v>
      </c>
      <c r="H30" s="491"/>
      <c r="I30" s="491"/>
      <c r="J30" s="224" t="str">
        <f>FHD_NOTE_P_1</f>
        <v>Указывается выручка от регулируемого вида деятельности с распределением по видам деятельности.</v>
      </c>
      <c r="K30" s="477"/>
      <c r="AF30" s="1548">
        <v>19</v>
      </c>
    </row>
    <row r="31" spans="1:32" ht="11.5" customHeight="1">
      <c r="D31" s="1555"/>
      <c r="E31" s="480">
        <f>FHD_NUM_P_2</f>
        <v>2</v>
      </c>
      <c r="F31" s="1794" t="str">
        <f>FHD_P_2</f>
        <v>Себестоимость производимых товаров (оказываемых услуг) по регулируемому виду деятельности, включая:</v>
      </c>
      <c r="G31" s="1792" t="s">
        <v>585</v>
      </c>
      <c r="H31" s="492">
        <f>SUMIF($K33:$K71,$K31,H33:H71)</f>
        <v>0</v>
      </c>
      <c r="I31" s="492">
        <f>SUMIF($K33:$K71,$K31,I33:I71)</f>
        <v>0</v>
      </c>
      <c r="J31" s="224" t="str">
        <f>FHD_NOTE_P_2</f>
        <v>Указывается суммарная себестоимость производимых товаров.</v>
      </c>
      <c r="K31" s="1553" t="s">
        <v>600</v>
      </c>
      <c r="AF31" s="1548">
        <v>11</v>
      </c>
    </row>
    <row r="32" spans="1:32" ht="11.5" customHeight="1">
      <c r="D32" s="1555"/>
      <c r="E32" s="480" t="str">
        <f>FHD_NUM_P_3</f>
        <v>2.1</v>
      </c>
      <c r="F32" s="1441" t="str">
        <f>FHD_P_3</f>
        <v>Расходы на приобретаемую тепловую энергию (мощность), теплоноситель</v>
      </c>
      <c r="G32" s="1792" t="s">
        <v>585</v>
      </c>
      <c r="H32" s="491"/>
      <c r="I32" s="491"/>
      <c r="J32" s="224" t="str">
        <f>FHD_NOTE_P_3</f>
        <v/>
      </c>
      <c r="K32" s="1553" t="str">
        <f t="shared" ref="K32:K70" si="0">IF((LEN(E32)-LEN(SUBSTITUTE(E32,".","")))/LEN(".")=1,"p","")</f>
        <v>p</v>
      </c>
      <c r="AF32" s="1548">
        <v>11</v>
      </c>
    </row>
    <row r="33" spans="1:32" ht="11.25" customHeight="1">
      <c r="A33" s="3286" t="s">
        <v>601</v>
      </c>
      <c r="D33" s="1555"/>
      <c r="E33" s="480" t="str">
        <f>FHD_NUM_P_4</f>
        <v>2.2</v>
      </c>
      <c r="F33" s="1441"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792" t="s">
        <v>585</v>
      </c>
      <c r="H33" s="492">
        <f>SUMIF($F34:$F40,$F3,H34:H40)</f>
        <v>0</v>
      </c>
      <c r="I33" s="492">
        <f>SUMIF($F34:$F40,$F3,I34:I40)</f>
        <v>0</v>
      </c>
      <c r="J33" s="224" t="str">
        <f>FHD_NOTE_P_4</f>
        <v>Указываются суммарные расходы на приобретение топлива всех видов.</v>
      </c>
      <c r="K33" s="1553" t="str">
        <f t="shared" si="0"/>
        <v>p</v>
      </c>
      <c r="AF33" s="1548">
        <v>0</v>
      </c>
    </row>
    <row r="34" spans="1:32" s="2212" customFormat="1" ht="0.75" customHeight="1">
      <c r="A34" s="3286"/>
      <c r="B34" s="3287" t="str">
        <f>E33&amp;".0"</f>
        <v>2.2.0</v>
      </c>
      <c r="C34" s="1084"/>
      <c r="D34" s="494"/>
      <c r="E34" s="495"/>
      <c r="F34" s="496"/>
      <c r="G34" s="497"/>
      <c r="H34" s="431"/>
      <c r="I34" s="431"/>
      <c r="J34" s="498"/>
      <c r="K34" s="1553" t="str">
        <f t="shared" si="0"/>
        <v/>
      </c>
      <c r="L34" s="1553"/>
      <c r="M34" s="1553"/>
      <c r="N34" s="1553"/>
      <c r="O34" s="1553"/>
      <c r="P34" s="1553"/>
      <c r="Q34" s="1553"/>
      <c r="R34" s="1553"/>
      <c r="S34" s="1553"/>
      <c r="T34" s="1553"/>
      <c r="U34" s="499"/>
      <c r="V34" s="1553"/>
      <c r="W34" s="1553"/>
      <c r="X34" s="1553"/>
      <c r="Y34" s="1553"/>
      <c r="Z34" s="1553"/>
      <c r="AA34" s="500"/>
      <c r="AB34" s="500"/>
      <c r="AC34" s="500"/>
      <c r="AD34" s="500"/>
      <c r="AE34" s="500"/>
      <c r="AF34" s="1558">
        <v>0</v>
      </c>
    </row>
    <row r="35" spans="1:32" s="2212" customFormat="1" ht="0.75" customHeight="1">
      <c r="A35" s="3286"/>
      <c r="B35" s="3287"/>
      <c r="C35" s="1084"/>
      <c r="D35" s="494"/>
      <c r="E35" s="501"/>
      <c r="F35" s="502"/>
      <c r="G35" s="497"/>
      <c r="H35" s="503"/>
      <c r="I35" s="503"/>
      <c r="J35" s="498"/>
      <c r="K35" s="1553" t="str">
        <f t="shared" si="0"/>
        <v/>
      </c>
      <c r="L35" s="1553"/>
      <c r="M35" s="1553"/>
      <c r="N35" s="1553"/>
      <c r="O35" s="1553"/>
      <c r="P35" s="1553"/>
      <c r="Q35" s="1553"/>
      <c r="R35" s="1553"/>
      <c r="S35" s="1553"/>
      <c r="T35" s="1553"/>
      <c r="U35" s="499"/>
      <c r="V35" s="1553"/>
      <c r="W35" s="1553"/>
      <c r="X35" s="1553"/>
      <c r="Y35" s="1553"/>
      <c r="Z35" s="1553"/>
      <c r="AA35" s="500"/>
      <c r="AB35" s="500"/>
      <c r="AC35" s="500"/>
      <c r="AD35" s="500"/>
      <c r="AE35" s="500"/>
      <c r="AF35" s="1558">
        <v>0</v>
      </c>
    </row>
    <row r="36" spans="1:32" s="2212" customFormat="1" ht="0.75" customHeight="1">
      <c r="A36" s="3286"/>
      <c r="B36" s="3287"/>
      <c r="C36" s="1084"/>
      <c r="D36" s="494"/>
      <c r="E36" s="501"/>
      <c r="F36" s="502"/>
      <c r="G36" s="497"/>
      <c r="H36" s="503"/>
      <c r="I36" s="503"/>
      <c r="J36" s="498"/>
      <c r="K36" s="1553" t="str">
        <f t="shared" si="0"/>
        <v/>
      </c>
      <c r="L36" s="1553"/>
      <c r="M36" s="1553"/>
      <c r="N36" s="1553"/>
      <c r="O36" s="1553"/>
      <c r="P36" s="1553"/>
      <c r="Q36" s="1553"/>
      <c r="R36" s="1553"/>
      <c r="S36" s="1553"/>
      <c r="T36" s="1553"/>
      <c r="U36" s="499"/>
      <c r="V36" s="1553"/>
      <c r="W36" s="1553"/>
      <c r="X36" s="1553"/>
      <c r="Y36" s="1553"/>
      <c r="Z36" s="1553"/>
      <c r="AA36" s="500"/>
      <c r="AB36" s="500"/>
      <c r="AC36" s="500"/>
      <c r="AD36" s="500"/>
      <c r="AE36" s="500"/>
      <c r="AF36" s="1558">
        <v>0</v>
      </c>
    </row>
    <row r="37" spans="1:32" s="2212" customFormat="1" ht="0.75" customHeight="1">
      <c r="A37" s="3286"/>
      <c r="B37" s="3287"/>
      <c r="C37" s="1084"/>
      <c r="D37" s="494"/>
      <c r="E37" s="501"/>
      <c r="F37" s="502"/>
      <c r="G37" s="497"/>
      <c r="H37" s="503"/>
      <c r="I37" s="503"/>
      <c r="J37" s="498"/>
      <c r="K37" s="1553" t="str">
        <f t="shared" si="0"/>
        <v/>
      </c>
      <c r="L37" s="1553"/>
      <c r="M37" s="1553"/>
      <c r="N37" s="1553"/>
      <c r="O37" s="1553"/>
      <c r="P37" s="1553"/>
      <c r="Q37" s="1553"/>
      <c r="R37" s="1553"/>
      <c r="S37" s="1553"/>
      <c r="T37" s="1553"/>
      <c r="U37" s="499"/>
      <c r="V37" s="1553"/>
      <c r="W37" s="1553"/>
      <c r="X37" s="1553"/>
      <c r="Y37" s="1553"/>
      <c r="Z37" s="1553"/>
      <c r="AA37" s="500"/>
      <c r="AB37" s="500"/>
      <c r="AC37" s="500"/>
      <c r="AD37" s="500"/>
      <c r="AE37" s="500"/>
      <c r="AF37" s="1558">
        <v>0</v>
      </c>
    </row>
    <row r="38" spans="1:32" s="2212" customFormat="1" ht="0.75" customHeight="1">
      <c r="A38" s="3286"/>
      <c r="B38" s="3287"/>
      <c r="C38" s="1084"/>
      <c r="D38" s="494"/>
      <c r="E38" s="501"/>
      <c r="F38" s="502"/>
      <c r="G38" s="497"/>
      <c r="H38" s="503"/>
      <c r="I38" s="503"/>
      <c r="J38" s="498"/>
      <c r="K38" s="1553" t="str">
        <f t="shared" si="0"/>
        <v/>
      </c>
      <c r="L38" s="1553"/>
      <c r="M38" s="1553"/>
      <c r="N38" s="1553"/>
      <c r="O38" s="1553"/>
      <c r="P38" s="1553"/>
      <c r="Q38" s="1553"/>
      <c r="R38" s="1553"/>
      <c r="S38" s="1553"/>
      <c r="T38" s="1553"/>
      <c r="U38" s="499"/>
      <c r="V38" s="1553"/>
      <c r="W38" s="1553"/>
      <c r="X38" s="1553"/>
      <c r="Y38" s="1553"/>
      <c r="Z38" s="1553"/>
      <c r="AA38" s="500"/>
      <c r="AB38" s="500"/>
      <c r="AC38" s="500"/>
      <c r="AD38" s="500"/>
      <c r="AE38" s="500"/>
      <c r="AF38" s="1558">
        <v>0</v>
      </c>
    </row>
    <row r="39" spans="1:32" s="2212" customFormat="1" ht="0.75" customHeight="1">
      <c r="A39" s="3286"/>
      <c r="B39" s="3287"/>
      <c r="C39" s="1084"/>
      <c r="D39" s="494"/>
      <c r="E39" s="501"/>
      <c r="F39" s="502"/>
      <c r="G39" s="497"/>
      <c r="H39" s="431"/>
      <c r="I39" s="431"/>
      <c r="J39" s="498"/>
      <c r="K39" s="1553" t="str">
        <f t="shared" si="0"/>
        <v/>
      </c>
      <c r="L39" s="1553"/>
      <c r="M39" s="1553"/>
      <c r="N39" s="1553"/>
      <c r="O39" s="1553"/>
      <c r="P39" s="1553"/>
      <c r="Q39" s="1553"/>
      <c r="R39" s="1553"/>
      <c r="S39" s="1553"/>
      <c r="T39" s="1553"/>
      <c r="U39" s="499"/>
      <c r="V39" s="1553"/>
      <c r="W39" s="1553"/>
      <c r="X39" s="1553"/>
      <c r="Y39" s="1553"/>
      <c r="Z39" s="1553"/>
      <c r="AA39" s="500"/>
      <c r="AB39" s="500"/>
      <c r="AC39" s="500"/>
      <c r="AD39" s="500"/>
      <c r="AE39" s="500"/>
      <c r="AF39" s="1558">
        <v>0</v>
      </c>
    </row>
    <row r="40" spans="1:32" s="2016" customFormat="1" ht="15" customHeight="1">
      <c r="A40" s="3286"/>
      <c r="C40" s="1553"/>
      <c r="D40" s="1550"/>
      <c r="E40" s="504"/>
      <c r="F40" s="505" t="s">
        <v>602</v>
      </c>
      <c r="G40" s="506"/>
      <c r="H40" s="507"/>
      <c r="I40" s="507"/>
      <c r="J40" s="236"/>
      <c r="K40" s="1553" t="str">
        <f t="shared" si="0"/>
        <v/>
      </c>
      <c r="L40" s="1553"/>
      <c r="M40" s="1553"/>
      <c r="R40" s="1553"/>
      <c r="U40" s="478"/>
      <c r="AA40" s="1549"/>
      <c r="AB40" s="1549"/>
      <c r="AC40" s="1549"/>
      <c r="AD40" s="1549"/>
      <c r="AE40" s="1549"/>
      <c r="AF40" s="1077">
        <v>0</v>
      </c>
    </row>
    <row r="41" spans="1:32" ht="11.25" hidden="1" customHeight="1">
      <c r="A41" s="3286" t="s">
        <v>603</v>
      </c>
      <c r="D41" s="1555"/>
      <c r="E41" s="480" t="str">
        <f>FHD_NUM_P_5</f>
        <v/>
      </c>
      <c r="F41" s="1441" t="str">
        <f>FHD_P_5</f>
        <v/>
      </c>
      <c r="G41" s="1792" t="s">
        <v>585</v>
      </c>
      <c r="H41" s="491"/>
      <c r="I41" s="491"/>
      <c r="J41" s="224" t="str">
        <f>FHD_NOTE_P_5</f>
        <v/>
      </c>
      <c r="K41" s="1553" t="str">
        <f t="shared" si="0"/>
        <v/>
      </c>
      <c r="AF41" s="1548">
        <v>0</v>
      </c>
    </row>
    <row r="42" spans="1:32" ht="11.25" hidden="1" customHeight="1">
      <c r="A42" s="3286"/>
      <c r="D42" s="1555"/>
      <c r="E42" s="480" t="str">
        <f>FHD_NUM_P_6</f>
        <v/>
      </c>
      <c r="F42" s="1441" t="str">
        <f>FHD_P_6</f>
        <v/>
      </c>
      <c r="G42" s="1792" t="s">
        <v>585</v>
      </c>
      <c r="H42" s="491"/>
      <c r="I42" s="491"/>
      <c r="J42" s="224" t="str">
        <f>FHD_NOTE_P_6</f>
        <v/>
      </c>
      <c r="K42" s="1553" t="str">
        <f t="shared" si="0"/>
        <v/>
      </c>
      <c r="AF42" s="1548">
        <v>0</v>
      </c>
    </row>
    <row r="43" spans="1:32" ht="11.25" hidden="1" customHeight="1">
      <c r="A43" s="3286"/>
      <c r="D43" s="1555"/>
      <c r="E43" s="480" t="str">
        <f>FHD_NUM_P_7</f>
        <v/>
      </c>
      <c r="F43" s="1441" t="str">
        <f>FHD_P_7</f>
        <v/>
      </c>
      <c r="G43" s="1792" t="s">
        <v>585</v>
      </c>
      <c r="H43" s="491"/>
      <c r="I43" s="491"/>
      <c r="J43" s="224" t="str">
        <f>FHD_NOTE_P_7</f>
        <v/>
      </c>
      <c r="K43" s="1553" t="str">
        <f t="shared" si="0"/>
        <v/>
      </c>
      <c r="AF43" s="1548">
        <v>0</v>
      </c>
    </row>
    <row r="44" spans="1:32" ht="11.5" customHeight="1">
      <c r="D44" s="1555"/>
      <c r="E44" s="480" t="str">
        <f>FHD_NUM_P_8</f>
        <v>2.3</v>
      </c>
      <c r="F44" s="1441" t="str">
        <f>FHD_P_8</f>
        <v>Расходы на приобретаемую электрическую энергию (мощность), используемую в технологическом процессе</v>
      </c>
      <c r="G44" s="1792" t="s">
        <v>585</v>
      </c>
      <c r="H44" s="491"/>
      <c r="I44" s="491"/>
      <c r="J44" s="224" t="str">
        <f>FHD_NOTE_P_8</f>
        <v/>
      </c>
      <c r="K44" s="1553" t="str">
        <f t="shared" si="0"/>
        <v>p</v>
      </c>
      <c r="AF44" s="1548">
        <v>11</v>
      </c>
    </row>
    <row r="45" spans="1:32" ht="11.5" customHeight="1">
      <c r="D45" s="1555"/>
      <c r="E45" s="480" t="str">
        <f>FHD_NUM_P_9</f>
        <v>2.3.1</v>
      </c>
      <c r="F45" s="1567" t="str">
        <f>FHD_P_9</f>
        <v>Средневзвешенная стоимость 1 кВт.ч (с учетом мощности)</v>
      </c>
      <c r="G45" s="1792" t="s">
        <v>604</v>
      </c>
      <c r="H45" s="491"/>
      <c r="I45" s="491"/>
      <c r="J45" s="224" t="str">
        <f>FHD_NOTE_P_9</f>
        <v/>
      </c>
      <c r="K45" s="1553" t="str">
        <f t="shared" si="0"/>
        <v/>
      </c>
      <c r="AF45" s="1548">
        <v>11</v>
      </c>
    </row>
    <row r="46" spans="1:32" s="2016" customFormat="1" ht="11.5" customHeight="1">
      <c r="A46" s="909"/>
      <c r="C46" s="1553"/>
      <c r="D46" s="508"/>
      <c r="E46" s="480" t="str">
        <f>FHD_NUM_P_10</f>
        <v>2.3.2</v>
      </c>
      <c r="F46" s="1567" t="str">
        <f>FHD_P_10</f>
        <v>Объём приобретения электрической энергии</v>
      </c>
      <c r="G46" s="1792" t="s">
        <v>605</v>
      </c>
      <c r="H46" s="491"/>
      <c r="I46" s="491"/>
      <c r="J46" s="224" t="str">
        <f>FHD_NOTE_P_10</f>
        <v/>
      </c>
      <c r="K46" s="1553" t="str">
        <f t="shared" si="0"/>
        <v/>
      </c>
      <c r="L46" s="1553"/>
      <c r="M46" s="1553"/>
      <c r="R46" s="1553"/>
      <c r="U46" s="478"/>
      <c r="AA46" s="1549"/>
      <c r="AB46" s="1549"/>
      <c r="AC46" s="1549"/>
      <c r="AD46" s="1549"/>
      <c r="AE46" s="1549"/>
      <c r="AF46" s="1077">
        <v>11</v>
      </c>
    </row>
    <row r="47" spans="1:32" s="2016" customFormat="1" ht="11.25" customHeight="1">
      <c r="A47" s="911" t="s">
        <v>606</v>
      </c>
      <c r="C47" s="1553"/>
      <c r="D47" s="509"/>
      <c r="E47" s="480" t="str">
        <f>FHD_NUM_P_11</f>
        <v>2.4</v>
      </c>
      <c r="F47" s="1441" t="str">
        <f>FHD_P_11</f>
        <v>Расходы на приобретение холодной воды, используемой в технологическом процессе</v>
      </c>
      <c r="G47" s="1792" t="s">
        <v>585</v>
      </c>
      <c r="H47" s="491"/>
      <c r="I47" s="491"/>
      <c r="J47" s="224" t="str">
        <f>FHD_NOTE_P_11</f>
        <v/>
      </c>
      <c r="K47" s="1553" t="str">
        <f t="shared" si="0"/>
        <v>p</v>
      </c>
      <c r="L47" s="1553"/>
      <c r="M47" s="1553"/>
      <c r="R47" s="1553"/>
      <c r="U47" s="478"/>
      <c r="AA47" s="1549"/>
      <c r="AB47" s="1549"/>
      <c r="AC47" s="1549"/>
      <c r="AD47" s="1549"/>
      <c r="AE47" s="1549"/>
      <c r="AF47" s="1077">
        <v>0</v>
      </c>
    </row>
    <row r="48" spans="1:32" s="2016" customFormat="1" ht="18.75" customHeight="1">
      <c r="A48" s="911" t="s">
        <v>607</v>
      </c>
      <c r="C48" s="1553"/>
      <c r="D48" s="1555"/>
      <c r="E48" s="480" t="str">
        <f>FHD_NUM_P_12</f>
        <v>2.5</v>
      </c>
      <c r="F48" s="1441" t="str">
        <f>FHD_P_12</f>
        <v>Расходы на  химические реагенты, используемые в технологическом процессе</v>
      </c>
      <c r="G48" s="1792" t="s">
        <v>585</v>
      </c>
      <c r="H48" s="511"/>
      <c r="I48" s="511"/>
      <c r="J48" s="224" t="str">
        <f>FHD_NOTE_P_12</f>
        <v/>
      </c>
      <c r="K48" s="1553" t="str">
        <f t="shared" si="0"/>
        <v>p</v>
      </c>
      <c r="L48" s="1553"/>
      <c r="M48" s="1553"/>
      <c r="R48" s="1553"/>
      <c r="U48" s="478"/>
      <c r="AA48" s="1549"/>
      <c r="AB48" s="1549"/>
      <c r="AC48" s="1549"/>
      <c r="AD48" s="1549"/>
      <c r="AE48" s="1549"/>
      <c r="AF48" s="1077">
        <v>18</v>
      </c>
    </row>
    <row r="49" spans="1:32" s="2213" customFormat="1" ht="11.5" customHeight="1">
      <c r="A49" s="910"/>
      <c r="C49" s="664"/>
      <c r="D49" s="607"/>
      <c r="E49" s="480" t="str">
        <f>FHD_NUM_P_13</f>
        <v>2.6</v>
      </c>
      <c r="F49" s="1441"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792" t="s">
        <v>585</v>
      </c>
      <c r="H49" s="491"/>
      <c r="I49" s="491"/>
      <c r="J49" s="224" t="str">
        <f>FHD_NOTE_P_13</f>
        <v/>
      </c>
      <c r="K49" s="1553" t="str">
        <f t="shared" si="0"/>
        <v>p</v>
      </c>
      <c r="L49" s="664"/>
      <c r="M49" s="664"/>
      <c r="R49" s="664"/>
      <c r="U49" s="665"/>
      <c r="AA49" s="666"/>
      <c r="AB49" s="666"/>
      <c r="AC49" s="666"/>
      <c r="AD49" s="666"/>
      <c r="AE49" s="666"/>
      <c r="AF49" s="663">
        <v>11</v>
      </c>
    </row>
    <row r="50" spans="1:32" s="2213" customFormat="1" ht="11.5" customHeight="1">
      <c r="A50" s="910"/>
      <c r="C50" s="664"/>
      <c r="D50" s="607"/>
      <c r="E50" s="480" t="str">
        <f>FHD_NUM_P_14</f>
        <v>2.6.1</v>
      </c>
      <c r="F50" s="1567" t="str">
        <f>FHD_P_14</f>
        <v>Расходы на оплату труда основного производственного персонала</v>
      </c>
      <c r="G50" s="1792" t="s">
        <v>585</v>
      </c>
      <c r="H50" s="491"/>
      <c r="I50" s="491"/>
      <c r="J50" s="224" t="str">
        <f>FHD_NOTE_P_14</f>
        <v/>
      </c>
      <c r="K50" s="1553" t="str">
        <f t="shared" si="0"/>
        <v/>
      </c>
      <c r="L50" s="664"/>
      <c r="M50" s="664"/>
      <c r="R50" s="664"/>
      <c r="U50" s="665"/>
      <c r="AA50" s="666"/>
      <c r="AB50" s="666"/>
      <c r="AC50" s="666"/>
      <c r="AD50" s="666"/>
      <c r="AE50" s="666"/>
      <c r="AF50" s="663">
        <v>11</v>
      </c>
    </row>
    <row r="51" spans="1:32" s="2213" customFormat="1" ht="11.5" customHeight="1">
      <c r="A51" s="910"/>
      <c r="C51" s="664"/>
      <c r="D51" s="607"/>
      <c r="E51" s="480" t="str">
        <f>FHD_NUM_P_15</f>
        <v>2.6.2</v>
      </c>
      <c r="F51" s="1567" t="str">
        <f>FHD_P_15</f>
        <v>Страховые взносы на обязательное социальное страхование, выплачиваемые из фонда оплаты труда основного производственного персонала</v>
      </c>
      <c r="G51" s="1792" t="s">
        <v>585</v>
      </c>
      <c r="H51" s="491"/>
      <c r="I51" s="491"/>
      <c r="J51" s="224" t="str">
        <f>FHD_NOTE_P_15</f>
        <v/>
      </c>
      <c r="K51" s="1553" t="str">
        <f t="shared" si="0"/>
        <v/>
      </c>
      <c r="L51" s="664"/>
      <c r="M51" s="664"/>
      <c r="R51" s="664"/>
      <c r="U51" s="665"/>
      <c r="AA51" s="666"/>
      <c r="AB51" s="666"/>
      <c r="AC51" s="666"/>
      <c r="AD51" s="666"/>
      <c r="AE51" s="666"/>
      <c r="AF51" s="663">
        <v>11</v>
      </c>
    </row>
    <row r="52" spans="1:32" s="2016" customFormat="1" ht="11.5" customHeight="1">
      <c r="A52" s="909"/>
      <c r="C52" s="1553"/>
      <c r="D52" s="1555"/>
      <c r="E52" s="480" t="str">
        <f>FHD_NUM_P_16</f>
        <v>2.7</v>
      </c>
      <c r="F52" s="1441"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792" t="s">
        <v>585</v>
      </c>
      <c r="H52" s="491"/>
      <c r="I52" s="491"/>
      <c r="J52" s="224" t="str">
        <f>FHD_NOTE_P_16</f>
        <v/>
      </c>
      <c r="K52" s="1553" t="str">
        <f t="shared" si="0"/>
        <v>p</v>
      </c>
      <c r="L52" s="1553"/>
      <c r="M52" s="1559"/>
      <c r="N52" s="471"/>
      <c r="O52" s="471"/>
      <c r="R52" s="1553"/>
      <c r="U52" s="478"/>
      <c r="AA52" s="1549"/>
      <c r="AB52" s="1549"/>
      <c r="AC52" s="1549"/>
      <c r="AD52" s="1549"/>
      <c r="AE52" s="1549"/>
      <c r="AF52" s="1077">
        <v>11</v>
      </c>
    </row>
    <row r="53" spans="1:32" s="2016" customFormat="1" ht="11.5" customHeight="1">
      <c r="A53" s="909"/>
      <c r="C53" s="1553"/>
      <c r="D53" s="1555"/>
      <c r="E53" s="480" t="str">
        <f>FHD_NUM_P_17</f>
        <v>2.7.1</v>
      </c>
      <c r="F53" s="1567" t="str">
        <f>FHD_P_17</f>
        <v>Расходы на оплату труда административно-управленческого персонала</v>
      </c>
      <c r="G53" s="1792" t="s">
        <v>585</v>
      </c>
      <c r="H53" s="491"/>
      <c r="I53" s="491"/>
      <c r="J53" s="224" t="str">
        <f>FHD_NOTE_P_17</f>
        <v/>
      </c>
      <c r="K53" s="1553" t="str">
        <f t="shared" si="0"/>
        <v/>
      </c>
      <c r="L53" s="1553"/>
      <c r="M53" s="1559"/>
      <c r="N53" s="471"/>
      <c r="O53" s="471"/>
      <c r="R53" s="1553"/>
      <c r="U53" s="478"/>
      <c r="AA53" s="1549"/>
      <c r="AB53" s="1549"/>
      <c r="AC53" s="1549"/>
      <c r="AD53" s="1549"/>
      <c r="AE53" s="1549"/>
      <c r="AF53" s="1077">
        <v>11</v>
      </c>
    </row>
    <row r="54" spans="1:32" s="2016" customFormat="1" ht="11.5" customHeight="1">
      <c r="A54" s="909"/>
      <c r="C54" s="1553"/>
      <c r="D54" s="1555"/>
      <c r="E54" s="480" t="str">
        <f>FHD_NUM_P_18</f>
        <v>2.7.2</v>
      </c>
      <c r="F54" s="1567"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792" t="s">
        <v>585</v>
      </c>
      <c r="H54" s="491"/>
      <c r="I54" s="491"/>
      <c r="J54" s="224" t="str">
        <f>FHD_NOTE_P_18</f>
        <v/>
      </c>
      <c r="K54" s="1553" t="str">
        <f t="shared" si="0"/>
        <v/>
      </c>
      <c r="L54" s="1553"/>
      <c r="M54" s="1559"/>
      <c r="N54" s="471"/>
      <c r="O54" s="471"/>
      <c r="R54" s="1553"/>
      <c r="U54" s="478"/>
      <c r="AA54" s="1549"/>
      <c r="AB54" s="1549"/>
      <c r="AC54" s="1549"/>
      <c r="AD54" s="1549"/>
      <c r="AE54" s="1549"/>
      <c r="AF54" s="1077">
        <v>11</v>
      </c>
    </row>
    <row r="55" spans="1:32" s="2016" customFormat="1" ht="11.5" customHeight="1">
      <c r="A55" s="909"/>
      <c r="C55" s="1553"/>
      <c r="D55" s="509"/>
      <c r="E55" s="480" t="str">
        <f>FHD_NUM_P_19</f>
        <v>2.8</v>
      </c>
      <c r="F55" s="1441" t="str">
        <f>FHD_P_19</f>
        <v>Расходы на амортизацию основных средств и нематериальных активов</v>
      </c>
      <c r="G55" s="1792" t="s">
        <v>585</v>
      </c>
      <c r="H55" s="491"/>
      <c r="I55" s="491"/>
      <c r="J55" s="224" t="str">
        <f>FHD_NOTE_P_19</f>
        <v/>
      </c>
      <c r="K55" s="1553" t="str">
        <f t="shared" si="0"/>
        <v>p</v>
      </c>
      <c r="L55" s="1553"/>
      <c r="M55" s="1553"/>
      <c r="R55" s="1553"/>
      <c r="U55" s="478"/>
      <c r="AA55" s="1549"/>
      <c r="AB55" s="1549"/>
      <c r="AC55" s="1549"/>
      <c r="AD55" s="1549"/>
      <c r="AE55" s="1549"/>
      <c r="AF55" s="1077">
        <v>11</v>
      </c>
    </row>
    <row r="56" spans="1:32" s="2016" customFormat="1" ht="11.5" customHeight="1">
      <c r="A56" s="909"/>
      <c r="C56" s="1553"/>
      <c r="D56" s="509"/>
      <c r="E56" s="480" t="str">
        <f>FHD_NUM_P_20</f>
        <v>2.8.1</v>
      </c>
      <c r="F56" s="1567" t="str">
        <f>FHD_P_20</f>
        <v>Расходы на амортизацию основных средств</v>
      </c>
      <c r="G56" s="1792" t="s">
        <v>585</v>
      </c>
      <c r="H56" s="491"/>
      <c r="I56" s="491"/>
      <c r="J56" s="224" t="str">
        <f>FHD_NOTE_P_20</f>
        <v/>
      </c>
      <c r="K56" s="1553" t="str">
        <f t="shared" si="0"/>
        <v/>
      </c>
      <c r="L56" s="1553"/>
      <c r="M56" s="1553"/>
      <c r="R56" s="1553"/>
      <c r="U56" s="478"/>
      <c r="AA56" s="1549"/>
      <c r="AB56" s="1549"/>
      <c r="AC56" s="1549"/>
      <c r="AD56" s="1549"/>
      <c r="AE56" s="1549"/>
      <c r="AF56" s="1077">
        <v>11</v>
      </c>
    </row>
    <row r="57" spans="1:32" s="2016" customFormat="1" ht="11.5" customHeight="1">
      <c r="A57" s="909"/>
      <c r="C57" s="1553"/>
      <c r="D57" s="509"/>
      <c r="E57" s="480" t="str">
        <f>FHD_NUM_P_21</f>
        <v>2.8.2</v>
      </c>
      <c r="F57" s="1567" t="str">
        <f>FHD_P_21</f>
        <v>Расходы на амортизацию нематериальных активов</v>
      </c>
      <c r="G57" s="1792" t="s">
        <v>585</v>
      </c>
      <c r="H57" s="491"/>
      <c r="I57" s="491"/>
      <c r="J57" s="224" t="str">
        <f>FHD_NOTE_P_21</f>
        <v/>
      </c>
      <c r="K57" s="1553" t="str">
        <f t="shared" si="0"/>
        <v/>
      </c>
      <c r="L57" s="1553"/>
      <c r="M57" s="1553"/>
      <c r="R57" s="1553"/>
      <c r="U57" s="478"/>
      <c r="AA57" s="1549"/>
      <c r="AB57" s="1549"/>
      <c r="AC57" s="1549"/>
      <c r="AD57" s="1549"/>
      <c r="AE57" s="1549"/>
      <c r="AF57" s="1077">
        <v>11</v>
      </c>
    </row>
    <row r="58" spans="1:32" s="2016" customFormat="1" ht="11.5" customHeight="1">
      <c r="A58" s="909"/>
      <c r="C58" s="1553"/>
      <c r="D58" s="1555"/>
      <c r="E58" s="480" t="str">
        <f>FHD_NUM_P_22</f>
        <v>2.9</v>
      </c>
      <c r="F58" s="1441" t="str">
        <f>FHD_P_22</f>
        <v>Расходы на аренду имущества, используемого для осуществления регулируемого вида деятельности</v>
      </c>
      <c r="G58" s="1792" t="s">
        <v>585</v>
      </c>
      <c r="H58" s="491"/>
      <c r="I58" s="491"/>
      <c r="J58" s="224" t="str">
        <f>FHD_NOTE_P_22</f>
        <v/>
      </c>
      <c r="K58" s="1553" t="str">
        <f t="shared" si="0"/>
        <v>p</v>
      </c>
      <c r="L58" s="1553"/>
      <c r="M58" s="1553"/>
      <c r="R58" s="1553"/>
      <c r="U58" s="478"/>
      <c r="AA58" s="1549"/>
      <c r="AB58" s="1549"/>
      <c r="AC58" s="1549"/>
      <c r="AD58" s="1549"/>
      <c r="AE58" s="1549"/>
      <c r="AF58" s="1077">
        <v>11</v>
      </c>
    </row>
    <row r="59" spans="1:32" s="2016" customFormat="1" ht="11.5" customHeight="1">
      <c r="A59" s="909"/>
      <c r="C59" s="1553"/>
      <c r="D59" s="509"/>
      <c r="E59" s="480" t="str">
        <f>FHD_NUM_P_23</f>
        <v>2.10</v>
      </c>
      <c r="F59" s="1441" t="str">
        <f>FHD_P_23</f>
        <v>Общепроизводственные расходы, в том числе:</v>
      </c>
      <c r="G59" s="1792" t="s">
        <v>585</v>
      </c>
      <c r="H59" s="491"/>
      <c r="I59" s="491"/>
      <c r="J59" s="224" t="str">
        <f>FHD_NOTE_P_23</f>
        <v>Указывается общая сумма общепроизводственных расходов.</v>
      </c>
      <c r="K59" s="1553" t="str">
        <f t="shared" si="0"/>
        <v>p</v>
      </c>
      <c r="L59" s="1553"/>
      <c r="M59" s="1553"/>
      <c r="R59" s="1553"/>
      <c r="U59" s="478"/>
      <c r="AA59" s="1549"/>
      <c r="AB59" s="1549"/>
      <c r="AC59" s="1549"/>
      <c r="AD59" s="1549"/>
      <c r="AE59" s="1549"/>
      <c r="AF59" s="1077">
        <v>11</v>
      </c>
    </row>
    <row r="60" spans="1:32" s="2016" customFormat="1" ht="11.5" customHeight="1">
      <c r="A60" s="909"/>
      <c r="C60" s="1553"/>
      <c r="D60" s="509"/>
      <c r="E60" s="480" t="str">
        <f>FHD_NUM_P_24</f>
        <v>2.10.1</v>
      </c>
      <c r="F60" s="1567" t="str">
        <f>FHD_P_24</f>
        <v>Расходы на текущий ремонт</v>
      </c>
      <c r="G60" s="1792" t="s">
        <v>585</v>
      </c>
      <c r="H60" s="491"/>
      <c r="I60" s="491"/>
      <c r="J60" s="224" t="str">
        <f>FHD_NOTE_P_24</f>
        <v>Указываются расходы на текущий ремонт, отнесенные к общепроизводственным расходам.</v>
      </c>
      <c r="K60" s="1553" t="str">
        <f t="shared" si="0"/>
        <v/>
      </c>
      <c r="L60" s="1553"/>
      <c r="M60" s="1553"/>
      <c r="R60" s="1553"/>
      <c r="U60" s="478"/>
      <c r="AA60" s="1549"/>
      <c r="AB60" s="1549"/>
      <c r="AC60" s="1549"/>
      <c r="AD60" s="1549"/>
      <c r="AE60" s="1549"/>
      <c r="AF60" s="1077">
        <v>11</v>
      </c>
    </row>
    <row r="61" spans="1:32" s="2016" customFormat="1" ht="11.5" customHeight="1">
      <c r="A61" s="909"/>
      <c r="C61" s="1553"/>
      <c r="D61" s="509"/>
      <c r="E61" s="480" t="str">
        <f>FHD_NUM_P_25</f>
        <v>2.10.2</v>
      </c>
      <c r="F61" s="1567" t="str">
        <f>FHD_P_25</f>
        <v>Расходы на капитальный ремонт</v>
      </c>
      <c r="G61" s="1792" t="s">
        <v>585</v>
      </c>
      <c r="H61" s="491"/>
      <c r="I61" s="491"/>
      <c r="J61" s="224" t="str">
        <f>FHD_NOTE_P_25</f>
        <v>Указываются расходы на капитальный ремонт, отнесенные к общепроизводственным расходам.</v>
      </c>
      <c r="K61" s="1553" t="str">
        <f t="shared" si="0"/>
        <v/>
      </c>
      <c r="L61" s="1553"/>
      <c r="M61" s="1553"/>
      <c r="R61" s="1553"/>
      <c r="U61" s="478"/>
      <c r="AA61" s="1549"/>
      <c r="AB61" s="1549"/>
      <c r="AC61" s="1549"/>
      <c r="AD61" s="1549"/>
      <c r="AE61" s="1549"/>
      <c r="AF61" s="1077">
        <v>11</v>
      </c>
    </row>
    <row r="62" spans="1:32" s="2016" customFormat="1" ht="11.5" customHeight="1">
      <c r="A62" s="909"/>
      <c r="C62" s="1553"/>
      <c r="D62" s="1555"/>
      <c r="E62" s="480" t="str">
        <f>FHD_NUM_P_26</f>
        <v>2.11</v>
      </c>
      <c r="F62" s="1441" t="str">
        <f>FHD_P_26</f>
        <v>Общехозяйственные расходы, в том числе:</v>
      </c>
      <c r="G62" s="1792" t="s">
        <v>585</v>
      </c>
      <c r="H62" s="491"/>
      <c r="I62" s="491"/>
      <c r="J62" s="224" t="str">
        <f>FHD_NOTE_P_26</f>
        <v>Указывается общая сумма общехозяйственных расходов.</v>
      </c>
      <c r="K62" s="1553" t="str">
        <f t="shared" si="0"/>
        <v>p</v>
      </c>
      <c r="L62" s="1553"/>
      <c r="M62" s="1553"/>
      <c r="R62" s="1553"/>
      <c r="U62" s="478"/>
      <c r="AA62" s="1549"/>
      <c r="AB62" s="1549"/>
      <c r="AC62" s="1549"/>
      <c r="AD62" s="1549"/>
      <c r="AE62" s="1549"/>
      <c r="AF62" s="1077">
        <v>11</v>
      </c>
    </row>
    <row r="63" spans="1:32" s="2016" customFormat="1" ht="11.5" customHeight="1">
      <c r="A63" s="909"/>
      <c r="C63" s="1553"/>
      <c r="D63" s="1555"/>
      <c r="E63" s="480" t="str">
        <f>FHD_NUM_P_27</f>
        <v>2.11.1</v>
      </c>
      <c r="F63" s="1567" t="str">
        <f>FHD_P_27</f>
        <v>Расходы на текущий ремонт</v>
      </c>
      <c r="G63" s="1792" t="s">
        <v>585</v>
      </c>
      <c r="H63" s="491"/>
      <c r="I63" s="491"/>
      <c r="J63" s="224" t="str">
        <f>FHD_NOTE_P_27</f>
        <v>Указываются расходы на текущий ремонт, отнесенные к общехозяйственным расходам.</v>
      </c>
      <c r="K63" s="1553" t="str">
        <f t="shared" si="0"/>
        <v/>
      </c>
      <c r="L63" s="1553"/>
      <c r="M63" s="1553"/>
      <c r="R63" s="1553"/>
      <c r="U63" s="478"/>
      <c r="AA63" s="1549"/>
      <c r="AB63" s="1549"/>
      <c r="AC63" s="1549"/>
      <c r="AD63" s="1549"/>
      <c r="AE63" s="1549"/>
      <c r="AF63" s="1077">
        <v>11</v>
      </c>
    </row>
    <row r="64" spans="1:32" s="2016" customFormat="1" ht="11.5" customHeight="1">
      <c r="A64" s="909"/>
      <c r="C64" s="1553"/>
      <c r="D64" s="1555"/>
      <c r="E64" s="480" t="str">
        <f>FHD_NUM_P_28</f>
        <v>2.11.2</v>
      </c>
      <c r="F64" s="1567" t="str">
        <f>FHD_P_28</f>
        <v>Расходы на капитальный ремонт</v>
      </c>
      <c r="G64" s="1792" t="s">
        <v>585</v>
      </c>
      <c r="H64" s="491"/>
      <c r="I64" s="491"/>
      <c r="J64" s="224" t="str">
        <f>FHD_NOTE_P_28</f>
        <v>Указываются расходы на капитальный ремонт, отнесенные к общехозяйственным расходам.</v>
      </c>
      <c r="K64" s="1553" t="str">
        <f t="shared" si="0"/>
        <v/>
      </c>
      <c r="L64" s="1553"/>
      <c r="M64" s="1553"/>
      <c r="R64" s="1553"/>
      <c r="U64" s="478"/>
      <c r="AA64" s="1549"/>
      <c r="AB64" s="1549"/>
      <c r="AC64" s="1549"/>
      <c r="AD64" s="1549"/>
      <c r="AE64" s="1549"/>
      <c r="AF64" s="1077">
        <v>11</v>
      </c>
    </row>
    <row r="65" spans="1:32" s="2016" customFormat="1" ht="11.5" customHeight="1">
      <c r="A65" s="909"/>
      <c r="C65" s="1553"/>
      <c r="D65" s="1555"/>
      <c r="E65" s="480" t="str">
        <f>FHD_NUM_P_29</f>
        <v>2.12</v>
      </c>
      <c r="F65" s="1441" t="str">
        <f>FHD_P_29</f>
        <v>Расходы на капитальный и текущий ремонт основных средств</v>
      </c>
      <c r="G65" s="1792" t="s">
        <v>585</v>
      </c>
      <c r="H65" s="491"/>
      <c r="I65" s="491"/>
      <c r="J65" s="224"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553" t="str">
        <f t="shared" si="0"/>
        <v>p</v>
      </c>
      <c r="L65" s="1553"/>
      <c r="M65" s="1553"/>
      <c r="R65" s="1553"/>
      <c r="U65" s="478"/>
      <c r="AA65" s="1549"/>
      <c r="AB65" s="1549"/>
      <c r="AC65" s="1549"/>
      <c r="AD65" s="1549"/>
      <c r="AE65" s="1549"/>
      <c r="AF65" s="1077">
        <v>11</v>
      </c>
    </row>
    <row r="66" spans="1:32" s="2016" customFormat="1" ht="11.5" customHeight="1">
      <c r="A66" s="909"/>
      <c r="C66" s="1553"/>
      <c r="D66" s="1555"/>
      <c r="E66" s="480" t="str">
        <f>FHD_NUM_P_30</f>
        <v>2.12.1</v>
      </c>
      <c r="F66" s="1567"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792" t="s">
        <v>341</v>
      </c>
      <c r="H66" s="1566" t="s">
        <v>608</v>
      </c>
      <c r="I66" s="1566" t="s">
        <v>608</v>
      </c>
      <c r="J66" s="224" t="str">
        <f>FHD_NOTE_P_30</f>
        <v/>
      </c>
      <c r="K66" s="1553" t="str">
        <f t="shared" si="0"/>
        <v/>
      </c>
      <c r="L66" s="1553">
        <f>IFERROR(MATCH("есть",B_FHD_FLAG_INDEX_1,0),0)</f>
        <v>0</v>
      </c>
      <c r="M66" s="1553"/>
      <c r="R66" s="1553"/>
      <c r="U66" s="478"/>
      <c r="AA66" s="1549"/>
      <c r="AB66" s="1549"/>
      <c r="AC66" s="1549"/>
      <c r="AD66" s="1549"/>
      <c r="AE66" s="1549"/>
      <c r="AF66" s="1077">
        <v>11</v>
      </c>
    </row>
    <row r="67" spans="1:32" s="2016" customFormat="1" ht="23.25" hidden="1" customHeight="1">
      <c r="A67" s="3286" t="s">
        <v>609</v>
      </c>
      <c r="C67" s="1553"/>
      <c r="D67" s="1555"/>
      <c r="E67" s="480" t="str">
        <f>FHD_NUM_P_31</f>
        <v/>
      </c>
      <c r="F67" s="1441" t="str">
        <f>FHD_P_31</f>
        <v/>
      </c>
      <c r="G67" s="1792" t="s">
        <v>585</v>
      </c>
      <c r="H67" s="491"/>
      <c r="I67" s="491"/>
      <c r="J67" s="224" t="str">
        <f>FHD_NOTE_P_31</f>
        <v/>
      </c>
      <c r="K67" s="1553" t="str">
        <f t="shared" si="0"/>
        <v/>
      </c>
      <c r="L67" s="1553"/>
      <c r="M67" s="1553"/>
      <c r="R67" s="1553"/>
      <c r="U67" s="478"/>
      <c r="AA67" s="1549"/>
      <c r="AB67" s="1549"/>
      <c r="AC67" s="1549"/>
      <c r="AD67" s="1549"/>
      <c r="AE67" s="1549"/>
      <c r="AF67" s="1077">
        <v>22</v>
      </c>
    </row>
    <row r="68" spans="1:32" s="2016" customFormat="1" ht="47.25" hidden="1" customHeight="1">
      <c r="A68" s="3286"/>
      <c r="C68" s="1553"/>
      <c r="D68" s="1555"/>
      <c r="E68" s="480" t="str">
        <f>FHD_NUM_P_32</f>
        <v/>
      </c>
      <c r="F68" s="1567" t="str">
        <f>FHD_P_32</f>
        <v/>
      </c>
      <c r="G68" s="1792" t="s">
        <v>341</v>
      </c>
      <c r="H68" s="1566" t="s">
        <v>608</v>
      </c>
      <c r="I68" s="1566" t="s">
        <v>608</v>
      </c>
      <c r="J68" s="224" t="str">
        <f>FHD_NOTE_P_32</f>
        <v/>
      </c>
      <c r="K68" s="1553" t="str">
        <f t="shared" si="0"/>
        <v/>
      </c>
      <c r="L68" s="1553">
        <f>IFERROR(MATCH("есть",B_FHD_FLAG_INDEX_2,0),0)</f>
        <v>0</v>
      </c>
      <c r="M68" s="1553"/>
      <c r="R68" s="1553"/>
      <c r="U68" s="478"/>
      <c r="AA68" s="1549"/>
      <c r="AB68" s="1549"/>
      <c r="AC68" s="1549"/>
      <c r="AD68" s="1549"/>
      <c r="AE68" s="1549"/>
      <c r="AF68" s="1077">
        <v>45</v>
      </c>
    </row>
    <row r="69" spans="1:32" s="2016" customFormat="1" ht="11.5" customHeight="1">
      <c r="A69" s="909"/>
      <c r="C69" s="1553"/>
      <c r="D69" s="1555"/>
      <c r="E69" s="480" t="str">
        <f>FHD_NUM_P_33</f>
        <v>2.13</v>
      </c>
      <c r="F69" s="1441" t="str">
        <f>FHD_P_33</f>
        <v>Прочие расходы, которые подлежат отнесению на регулируемые виды деятельности в соответствии с законодательством Российской Федерации</v>
      </c>
      <c r="G69" s="1793" t="s">
        <v>585</v>
      </c>
      <c r="H69" s="513">
        <f>SUM(H70:H71)</f>
        <v>0</v>
      </c>
      <c r="I69" s="513">
        <f>SUM(I70:I71)</f>
        <v>0</v>
      </c>
      <c r="J69" s="224"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553" t="str">
        <f t="shared" si="0"/>
        <v>p</v>
      </c>
      <c r="L69" s="1553"/>
      <c r="M69" s="1553"/>
      <c r="R69" s="1553"/>
      <c r="U69" s="478"/>
      <c r="AA69" s="1549"/>
      <c r="AB69" s="1549"/>
      <c r="AC69" s="1549"/>
      <c r="AD69" s="1549"/>
      <c r="AE69" s="1549"/>
      <c r="AF69" s="1077">
        <v>11</v>
      </c>
    </row>
    <row r="70" spans="1:32" s="2017" customFormat="1" ht="1" customHeight="1">
      <c r="A70" s="1084"/>
      <c r="D70" s="482"/>
      <c r="E70" s="934" t="str">
        <f>E69&amp;".0"</f>
        <v>2.13.0</v>
      </c>
      <c r="F70" s="913"/>
      <c r="G70" s="934"/>
      <c r="H70" s="914"/>
      <c r="I70" s="914"/>
      <c r="J70" s="915"/>
      <c r="K70" s="1553" t="str">
        <f t="shared" si="0"/>
        <v/>
      </c>
      <c r="AF70" s="1553">
        <v>1</v>
      </c>
    </row>
    <row r="71" spans="1:32" s="2016" customFormat="1" ht="14.65" customHeight="1">
      <c r="A71" s="909"/>
      <c r="C71" s="1553"/>
      <c r="D71" s="1550"/>
      <c r="E71" s="504"/>
      <c r="F71" s="505" t="s">
        <v>610</v>
      </c>
      <c r="G71" s="506"/>
      <c r="H71" s="507"/>
      <c r="I71" s="507"/>
      <c r="J71" s="236"/>
      <c r="K71" s="1553"/>
      <c r="L71" s="1553"/>
      <c r="M71" s="1553"/>
      <c r="R71" s="1553"/>
      <c r="U71" s="478"/>
      <c r="AA71" s="1549"/>
      <c r="AB71" s="1549"/>
      <c r="AC71" s="1549"/>
      <c r="AD71" s="1549"/>
      <c r="AE71" s="1549"/>
      <c r="AF71" s="1077">
        <v>14</v>
      </c>
    </row>
    <row r="72" spans="1:32" s="2016" customFormat="1" ht="18.75" customHeight="1">
      <c r="A72" s="911" t="s">
        <v>611</v>
      </c>
      <c r="C72" s="1553"/>
      <c r="D72" s="1555"/>
      <c r="E72" s="480" t="str">
        <f>FHD_NUM_P_34</f>
        <v>3</v>
      </c>
      <c r="F72" s="1794" t="str">
        <f>FHD_P_34</f>
        <v>Валовая прибыль (убытки) от реализации товаров и оказания услуг по регулируемому виду деятельности</v>
      </c>
      <c r="G72" s="1792" t="s">
        <v>585</v>
      </c>
      <c r="H72" s="491"/>
      <c r="I72" s="491"/>
      <c r="J72" s="224" t="str">
        <f>FHD_NOTE_P_34</f>
        <v/>
      </c>
      <c r="K72" s="477"/>
      <c r="L72" s="1553"/>
      <c r="M72" s="1553"/>
      <c r="R72" s="1553"/>
      <c r="U72" s="478"/>
      <c r="AA72" s="1549"/>
      <c r="AB72" s="1549"/>
      <c r="AC72" s="1549"/>
      <c r="AD72" s="1549"/>
      <c r="AE72" s="1549"/>
      <c r="AF72" s="1077">
        <v>0</v>
      </c>
    </row>
    <row r="73" spans="1:32" s="2016" customFormat="1" ht="20" customHeight="1">
      <c r="A73" s="909"/>
      <c r="C73" s="1553"/>
      <c r="D73" s="509"/>
      <c r="E73" s="480" t="str">
        <f>FHD_NUM_P_35</f>
        <v>4</v>
      </c>
      <c r="F73" s="1794" t="str">
        <f>FHD_P_35</f>
        <v>Чистая прибыль, полученная от регулируемого вида деятельности, в том числе:</v>
      </c>
      <c r="G73" s="1792" t="s">
        <v>585</v>
      </c>
      <c r="H73" s="491"/>
      <c r="I73" s="491"/>
      <c r="J73" s="224" t="str">
        <f>FHD_NOTE_P_35</f>
        <v>Указывается общая сумма чистой прибыли, полученной от регулируемого вида деятельности.</v>
      </c>
      <c r="K73" s="477"/>
      <c r="L73" s="1553"/>
      <c r="M73" s="1553"/>
      <c r="R73" s="1553"/>
      <c r="U73" s="478"/>
      <c r="AA73" s="1549"/>
      <c r="AB73" s="1549"/>
      <c r="AC73" s="1549"/>
      <c r="AD73" s="1549"/>
      <c r="AE73" s="1549"/>
      <c r="AF73" s="1077">
        <v>19</v>
      </c>
    </row>
    <row r="74" spans="1:32" s="2016" customFormat="1" ht="20" customHeight="1">
      <c r="A74" s="909"/>
      <c r="C74" s="1553"/>
      <c r="D74" s="1555"/>
      <c r="E74" s="480" t="str">
        <f>FHD_NUM_P_36</f>
        <v>4.1</v>
      </c>
      <c r="F74" s="1441"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792" t="s">
        <v>585</v>
      </c>
      <c r="H74" s="491"/>
      <c r="I74" s="491"/>
      <c r="J74" s="224" t="str">
        <f>FHD_NOTE_P_36</f>
        <v/>
      </c>
      <c r="K74" s="477"/>
      <c r="L74" s="1553"/>
      <c r="M74" s="1553"/>
      <c r="R74" s="1553"/>
      <c r="U74" s="478"/>
      <c r="AA74" s="1549"/>
      <c r="AB74" s="1549"/>
      <c r="AC74" s="1549"/>
      <c r="AD74" s="1549"/>
      <c r="AE74" s="1549"/>
      <c r="AF74" s="1077">
        <v>19</v>
      </c>
    </row>
    <row r="75" spans="1:32" s="2016" customFormat="1" ht="20" customHeight="1">
      <c r="A75" s="909"/>
      <c r="C75" s="1553"/>
      <c r="D75" s="1555"/>
      <c r="E75" s="480" t="str">
        <f>FHD_NUM_P_37</f>
        <v>5</v>
      </c>
      <c r="F75" s="1794" t="str">
        <f>FHD_P_37</f>
        <v>Изменение стоимости основных фондов, в том числе:</v>
      </c>
      <c r="G75" s="1792" t="s">
        <v>585</v>
      </c>
      <c r="H75" s="491"/>
      <c r="I75" s="491"/>
      <c r="J75" s="224" t="str">
        <f>FHD_NOTE_P_37</f>
        <v>Указывается общее изменение стоимости основных фондов.</v>
      </c>
      <c r="K75" s="477"/>
      <c r="L75" s="1553"/>
      <c r="M75" s="1553"/>
      <c r="R75" s="1553"/>
      <c r="U75" s="478"/>
      <c r="AA75" s="1549"/>
      <c r="AB75" s="1549"/>
      <c r="AC75" s="1549"/>
      <c r="AD75" s="1549"/>
      <c r="AE75" s="1549"/>
      <c r="AF75" s="1077">
        <v>19</v>
      </c>
    </row>
    <row r="76" spans="1:32" s="2016" customFormat="1" ht="20" customHeight="1">
      <c r="A76" s="909"/>
      <c r="C76" s="1553"/>
      <c r="D76" s="1555"/>
      <c r="E76" s="480" t="str">
        <f>FHD_NUM_P_38</f>
        <v>5.1</v>
      </c>
      <c r="F76" s="1441" t="str">
        <f>FHD_P_38</f>
        <v>Изменение стоимости основных фондов за счет:</v>
      </c>
      <c r="G76" s="1792" t="s">
        <v>585</v>
      </c>
      <c r="H76" s="491"/>
      <c r="I76" s="491"/>
      <c r="J76" s="224" t="str">
        <f>FHD_NOTE_P_38</f>
        <v>Указываются общее изменение стоимости основных фондов за счет их ввода в эксплуатацию и вывода из эксплуатации.</v>
      </c>
      <c r="K76" s="477"/>
      <c r="L76" s="1553"/>
      <c r="M76" s="1553"/>
      <c r="R76" s="1553"/>
      <c r="U76" s="478"/>
      <c r="AA76" s="1549"/>
      <c r="AB76" s="1549"/>
      <c r="AC76" s="1549"/>
      <c r="AD76" s="1549"/>
      <c r="AE76" s="1549"/>
      <c r="AF76" s="1077">
        <v>19</v>
      </c>
    </row>
    <row r="77" spans="1:32" s="2016" customFormat="1" ht="20" customHeight="1">
      <c r="A77" s="909"/>
      <c r="C77" s="1553"/>
      <c r="D77" s="1555"/>
      <c r="E77" s="480" t="str">
        <f>FHD_NUM_P_39</f>
        <v>5.1.1</v>
      </c>
      <c r="F77" s="1567" t="str">
        <f>FHD_P_39</f>
        <v>Изменения стоимости основных фондов за счет их ввода в эксплуатацию</v>
      </c>
      <c r="G77" s="1983" t="s">
        <v>585</v>
      </c>
      <c r="H77" s="491"/>
      <c r="I77" s="491"/>
      <c r="J77" s="224" t="str">
        <f>FHD_NOTE_P_39</f>
        <v>Указываются изменение стоимости основных фондов за счет их ввода в эксплуатацию.</v>
      </c>
      <c r="K77" s="477"/>
      <c r="L77" s="1553"/>
      <c r="M77" s="1553"/>
      <c r="R77" s="1553"/>
      <c r="U77" s="478"/>
      <c r="AA77" s="1549"/>
      <c r="AB77" s="1549"/>
      <c r="AC77" s="1549"/>
      <c r="AD77" s="1549"/>
      <c r="AE77" s="1549"/>
      <c r="AF77" s="1077">
        <v>19</v>
      </c>
    </row>
    <row r="78" spans="1:32" s="2016" customFormat="1" ht="20" customHeight="1">
      <c r="A78" s="909"/>
      <c r="C78" s="1553"/>
      <c r="D78" s="1555"/>
      <c r="E78" s="480" t="str">
        <f>FHD_NUM_P_40</f>
        <v>5.1.2</v>
      </c>
      <c r="F78" s="1987" t="str">
        <f>FHD_P_40</f>
        <v>Изменения стоимости основных фондов за счет их вывода в эксплуатацию</v>
      </c>
      <c r="G78" s="1982" t="s">
        <v>585</v>
      </c>
      <c r="H78" s="899"/>
      <c r="I78" s="491"/>
      <c r="J78" s="224" t="str">
        <f>FHD_NOTE_P_40</f>
        <v>Указываются изменение стоимости основных фондов за счет их вывода из эксплуатации.</v>
      </c>
      <c r="K78" s="477"/>
      <c r="L78" s="1553"/>
      <c r="M78" s="1553"/>
      <c r="R78" s="1553"/>
      <c r="U78" s="478"/>
      <c r="AA78" s="1549"/>
      <c r="AB78" s="1549"/>
      <c r="AC78" s="1549"/>
      <c r="AD78" s="1549"/>
      <c r="AE78" s="1549"/>
      <c r="AF78" s="1077">
        <v>19</v>
      </c>
    </row>
    <row r="79" spans="1:32" s="2016" customFormat="1" ht="20" customHeight="1">
      <c r="A79" s="909"/>
      <c r="C79" s="1553"/>
      <c r="D79" s="1555"/>
      <c r="E79" s="480" t="str">
        <f>FHD_NUM_P_41</f>
        <v>5.2</v>
      </c>
      <c r="F79" s="1986" t="str">
        <f>FHD_P_41</f>
        <v>Изменение стоимости основных фондов за счет их переоценки</v>
      </c>
      <c r="G79" s="1982" t="s">
        <v>585</v>
      </c>
      <c r="H79" s="899"/>
      <c r="I79" s="491"/>
      <c r="J79" s="224" t="str">
        <f>FHD_NOTE_P_41</f>
        <v/>
      </c>
      <c r="K79" s="477"/>
      <c r="L79" s="1553"/>
      <c r="M79" s="1553"/>
      <c r="R79" s="1553"/>
      <c r="U79" s="478"/>
      <c r="AA79" s="1549"/>
      <c r="AB79" s="1549"/>
      <c r="AC79" s="1549"/>
      <c r="AD79" s="1549"/>
      <c r="AE79" s="1549"/>
      <c r="AF79" s="1077">
        <v>19</v>
      </c>
    </row>
    <row r="80" spans="1:32" s="2016" customFormat="1" ht="20" hidden="1" customHeight="1">
      <c r="A80" s="911" t="s">
        <v>612</v>
      </c>
      <c r="C80" s="1553"/>
      <c r="D80" s="1555"/>
      <c r="E80" s="480" t="str">
        <f>FHD_NUM_P_42</f>
        <v/>
      </c>
      <c r="F80" s="1984" t="str">
        <f>FHD_P_42</f>
        <v/>
      </c>
      <c r="G80" s="1982" t="s">
        <v>585</v>
      </c>
      <c r="H80" s="899"/>
      <c r="I80" s="491"/>
      <c r="J80" s="224" t="str">
        <f>FHD_NOTE_P_42</f>
        <v/>
      </c>
      <c r="K80" s="477"/>
      <c r="L80" s="1553"/>
      <c r="M80" s="1553"/>
      <c r="R80" s="1553"/>
      <c r="U80" s="478"/>
      <c r="AA80" s="1549"/>
      <c r="AB80" s="1549"/>
      <c r="AC80" s="1549"/>
      <c r="AD80" s="1549"/>
      <c r="AE80" s="1549"/>
      <c r="AF80" s="1077">
        <v>19</v>
      </c>
    </row>
    <row r="81" spans="1:32" s="2016" customFormat="1" ht="20" customHeight="1">
      <c r="A81" s="909"/>
      <c r="C81" s="1553"/>
      <c r="D81" s="1555"/>
      <c r="E81" s="480" t="str">
        <f>FHD_NUM_P_43</f>
        <v>6</v>
      </c>
      <c r="F81" s="1794" t="str">
        <f>FHD_P_43</f>
        <v>Годовая бухгалтерская (финансовая) отчетность, включая бухгалтерский баланс и приложения к нему</v>
      </c>
      <c r="G81" s="1985" t="s">
        <v>341</v>
      </c>
      <c r="H81" s="976"/>
      <c r="I81" s="746"/>
      <c r="J81" s="224" t="str">
        <f>FHD_NOTE_P_43</f>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477"/>
      <c r="L81" s="1553"/>
      <c r="M81" s="1553"/>
      <c r="R81" s="1553"/>
      <c r="U81" s="478"/>
      <c r="AA81" s="1549"/>
      <c r="AB81" s="1549"/>
      <c r="AC81" s="1549"/>
      <c r="AD81" s="1549"/>
      <c r="AE81" s="1549"/>
      <c r="AF81" s="1077">
        <v>19</v>
      </c>
    </row>
    <row r="82" spans="1:32" s="2016" customFormat="1" ht="18.75" hidden="1" customHeight="1">
      <c r="A82" s="3286" t="s">
        <v>613</v>
      </c>
      <c r="C82" s="669"/>
      <c r="D82" s="667"/>
      <c r="E82" s="480" t="str">
        <f>FHD_NUM_P_44</f>
        <v/>
      </c>
      <c r="F82" s="1794" t="str">
        <f>FHD_P_44</f>
        <v/>
      </c>
      <c r="G82" s="1795" t="s">
        <v>614</v>
      </c>
      <c r="H82" s="900"/>
      <c r="I82" s="511"/>
      <c r="J82" s="224" t="str">
        <f>FHD_NOTE_P_44</f>
        <v/>
      </c>
      <c r="K82" s="668"/>
      <c r="L82" s="669"/>
      <c r="M82" s="669"/>
      <c r="R82" s="669"/>
      <c r="U82" s="670"/>
      <c r="AA82" s="671"/>
      <c r="AB82" s="671"/>
      <c r="AC82" s="671"/>
      <c r="AD82" s="671"/>
      <c r="AE82" s="671"/>
      <c r="AF82" s="833">
        <v>0</v>
      </c>
    </row>
    <row r="83" spans="1:32" s="2016" customFormat="1" ht="18.75" hidden="1" customHeight="1">
      <c r="A83" s="3286"/>
      <c r="C83" s="669"/>
      <c r="D83" s="667"/>
      <c r="E83" s="480" t="str">
        <f>FHD_NUM_P_45</f>
        <v/>
      </c>
      <c r="F83" s="1794" t="str">
        <f>FHD_P_45</f>
        <v/>
      </c>
      <c r="G83" s="1795" t="s">
        <v>614</v>
      </c>
      <c r="H83" s="900"/>
      <c r="I83" s="511"/>
      <c r="J83" s="224" t="str">
        <f>FHD_NOTE_P_45</f>
        <v/>
      </c>
      <c r="K83" s="668"/>
      <c r="L83" s="669"/>
      <c r="M83" s="669"/>
      <c r="R83" s="669"/>
      <c r="U83" s="670"/>
      <c r="AA83" s="671"/>
      <c r="AB83" s="671"/>
      <c r="AC83" s="671"/>
      <c r="AD83" s="671"/>
      <c r="AE83" s="671"/>
      <c r="AF83" s="833">
        <v>0</v>
      </c>
    </row>
    <row r="84" spans="1:32" s="2016" customFormat="1" ht="18.75" hidden="1" customHeight="1">
      <c r="A84" s="3286"/>
      <c r="C84" s="669"/>
      <c r="D84" s="672"/>
      <c r="E84" s="480" t="str">
        <f>FHD_NUM_P_46</f>
        <v/>
      </c>
      <c r="F84" s="1794" t="str">
        <f>FHD_P_46</f>
        <v/>
      </c>
      <c r="G84" s="1795" t="s">
        <v>614</v>
      </c>
      <c r="H84" s="900"/>
      <c r="I84" s="511"/>
      <c r="J84" s="224" t="str">
        <f>FHD_NOTE_P_46</f>
        <v/>
      </c>
      <c r="K84" s="668"/>
      <c r="L84" s="669"/>
      <c r="M84" s="669"/>
      <c r="R84" s="669"/>
      <c r="U84" s="670"/>
      <c r="AA84" s="671"/>
      <c r="AB84" s="671"/>
      <c r="AC84" s="671"/>
      <c r="AD84" s="671"/>
      <c r="AE84" s="671"/>
      <c r="AF84" s="833">
        <v>0</v>
      </c>
    </row>
    <row r="85" spans="1:32" s="2016" customFormat="1" ht="18.75" hidden="1" customHeight="1">
      <c r="A85" s="3286"/>
      <c r="C85" s="669"/>
      <c r="D85" s="667"/>
      <c r="E85" s="480" t="str">
        <f>FHD_NUM_P_47</f>
        <v/>
      </c>
      <c r="F85" s="1794" t="str">
        <f>FHD_P_47</f>
        <v/>
      </c>
      <c r="G85" s="1795" t="s">
        <v>614</v>
      </c>
      <c r="H85" s="900"/>
      <c r="I85" s="511"/>
      <c r="J85" s="224" t="str">
        <f>FHD_NOTE_P_47</f>
        <v/>
      </c>
      <c r="K85" s="668"/>
      <c r="L85" s="669"/>
      <c r="M85" s="669"/>
      <c r="R85" s="669"/>
      <c r="U85" s="670"/>
      <c r="AA85" s="671"/>
      <c r="AB85" s="671"/>
      <c r="AC85" s="671"/>
      <c r="AD85" s="671"/>
      <c r="AE85" s="671"/>
      <c r="AF85" s="833">
        <v>0</v>
      </c>
    </row>
    <row r="86" spans="1:32" s="2004" customFormat="1" ht="18.75" hidden="1" customHeight="1">
      <c r="A86" s="3286"/>
      <c r="B86" s="833"/>
      <c r="C86" s="669"/>
      <c r="D86" s="667"/>
      <c r="E86" s="480" t="str">
        <f>FHD_NUM_P_48</f>
        <v/>
      </c>
      <c r="F86" s="1794" t="str">
        <f>FHD_P_48</f>
        <v/>
      </c>
      <c r="G86" s="1795" t="s">
        <v>614</v>
      </c>
      <c r="H86" s="900"/>
      <c r="I86" s="511"/>
      <c r="J86" s="224" t="str">
        <f>FHD_NOTE_P_48</f>
        <v/>
      </c>
      <c r="K86" s="668"/>
      <c r="L86" s="669"/>
      <c r="M86" s="669"/>
      <c r="N86" s="833"/>
      <c r="O86" s="833"/>
      <c r="P86" s="833"/>
      <c r="Q86" s="833"/>
      <c r="R86" s="669"/>
      <c r="S86" s="833"/>
      <c r="T86" s="833"/>
      <c r="U86" s="670"/>
      <c r="V86" s="833"/>
      <c r="W86" s="833"/>
      <c r="X86" s="833"/>
      <c r="Y86" s="833"/>
      <c r="Z86" s="833"/>
      <c r="AA86" s="671"/>
      <c r="AB86" s="671"/>
      <c r="AC86" s="671"/>
      <c r="AD86" s="671"/>
      <c r="AE86" s="671"/>
      <c r="AF86" s="673">
        <v>0</v>
      </c>
    </row>
    <row r="87" spans="1:32" s="2004" customFormat="1" ht="18.75" hidden="1" customHeight="1">
      <c r="A87" s="3286"/>
      <c r="B87" s="833"/>
      <c r="C87" s="669"/>
      <c r="D87" s="667"/>
      <c r="E87" s="480" t="str">
        <f>FHD_NUM_P_49</f>
        <v/>
      </c>
      <c r="F87" s="1794" t="str">
        <f>FHD_P_49</f>
        <v/>
      </c>
      <c r="G87" s="1795" t="s">
        <v>614</v>
      </c>
      <c r="H87" s="901">
        <f>SUM(H88:H89)</f>
        <v>0</v>
      </c>
      <c r="I87" s="683">
        <f>SUM(I88:I89)</f>
        <v>0</v>
      </c>
      <c r="J87" s="224" t="str">
        <f>FHD_NOTE_P_49</f>
        <v/>
      </c>
      <c r="K87" s="668"/>
      <c r="L87" s="669"/>
      <c r="M87" s="669"/>
      <c r="N87" s="833"/>
      <c r="O87" s="833"/>
      <c r="P87" s="833"/>
      <c r="Q87" s="833"/>
      <c r="R87" s="669"/>
      <c r="S87" s="833"/>
      <c r="T87" s="833"/>
      <c r="U87" s="670"/>
      <c r="V87" s="833"/>
      <c r="W87" s="833"/>
      <c r="X87" s="833"/>
      <c r="Y87" s="833"/>
      <c r="Z87" s="833"/>
      <c r="AA87" s="671"/>
      <c r="AB87" s="671"/>
      <c r="AC87" s="671"/>
      <c r="AD87" s="671"/>
      <c r="AE87" s="671"/>
      <c r="AF87" s="673">
        <v>0</v>
      </c>
    </row>
    <row r="88" spans="1:32" s="2004" customFormat="1" ht="18.75" hidden="1" customHeight="1">
      <c r="A88" s="3286"/>
      <c r="B88" s="833"/>
      <c r="C88" s="669"/>
      <c r="D88" s="667"/>
      <c r="E88" s="480" t="str">
        <f>FHD_NUM_P_50</f>
        <v/>
      </c>
      <c r="F88" s="1794" t="str">
        <f>FHD_P_50</f>
        <v/>
      </c>
      <c r="G88" s="1795" t="s">
        <v>614</v>
      </c>
      <c r="H88" s="900"/>
      <c r="I88" s="511"/>
      <c r="J88" s="224" t="str">
        <f>FHD_NOTE_P_50</f>
        <v/>
      </c>
      <c r="K88" s="668"/>
      <c r="L88" s="669"/>
      <c r="M88" s="669"/>
      <c r="N88" s="833"/>
      <c r="O88" s="833"/>
      <c r="P88" s="833"/>
      <c r="Q88" s="833"/>
      <c r="R88" s="669"/>
      <c r="S88" s="833"/>
      <c r="T88" s="833"/>
      <c r="U88" s="670"/>
      <c r="V88" s="833"/>
      <c r="W88" s="833"/>
      <c r="X88" s="833"/>
      <c r="Y88" s="833"/>
      <c r="Z88" s="833"/>
      <c r="AA88" s="671"/>
      <c r="AB88" s="671"/>
      <c r="AC88" s="671"/>
      <c r="AD88" s="671"/>
      <c r="AE88" s="671"/>
      <c r="AF88" s="673">
        <v>0</v>
      </c>
    </row>
    <row r="89" spans="1:32" s="2004" customFormat="1" ht="18.75" hidden="1" customHeight="1">
      <c r="A89" s="3286"/>
      <c r="B89" s="833"/>
      <c r="C89" s="669"/>
      <c r="D89" s="667"/>
      <c r="E89" s="480" t="str">
        <f>FHD_NUM_P_51</f>
        <v/>
      </c>
      <c r="F89" s="1794" t="str">
        <f>FHD_P_51</f>
        <v/>
      </c>
      <c r="G89" s="1795" t="s">
        <v>614</v>
      </c>
      <c r="H89" s="900"/>
      <c r="I89" s="511"/>
      <c r="J89" s="224" t="str">
        <f>FHD_NOTE_P_51</f>
        <v/>
      </c>
      <c r="K89" s="668"/>
      <c r="L89" s="669"/>
      <c r="M89" s="669"/>
      <c r="N89" s="833"/>
      <c r="O89" s="833"/>
      <c r="P89" s="833"/>
      <c r="Q89" s="833"/>
      <c r="R89" s="669"/>
      <c r="S89" s="833"/>
      <c r="T89" s="833"/>
      <c r="U89" s="670"/>
      <c r="V89" s="833"/>
      <c r="W89" s="833"/>
      <c r="X89" s="833"/>
      <c r="Y89" s="833"/>
      <c r="Z89" s="833"/>
      <c r="AA89" s="671"/>
      <c r="AB89" s="671"/>
      <c r="AC89" s="671"/>
      <c r="AD89" s="671"/>
      <c r="AE89" s="671"/>
      <c r="AF89" s="673">
        <v>0</v>
      </c>
    </row>
    <row r="90" spans="1:32" s="2004" customFormat="1" ht="18.75" hidden="1" customHeight="1">
      <c r="A90" s="3286"/>
      <c r="B90" s="833"/>
      <c r="C90" s="669"/>
      <c r="D90" s="667"/>
      <c r="E90" s="480" t="str">
        <f>FHD_NUM_P_52</f>
        <v/>
      </c>
      <c r="F90" s="1794" t="str">
        <f>FHD_P_52</f>
        <v/>
      </c>
      <c r="G90" s="1795" t="s">
        <v>591</v>
      </c>
      <c r="H90" s="899"/>
      <c r="I90" s="491"/>
      <c r="J90" s="224" t="str">
        <f>FHD_NOTE_P_52</f>
        <v/>
      </c>
      <c r="K90" s="668"/>
      <c r="L90" s="669"/>
      <c r="M90" s="669"/>
      <c r="N90" s="833"/>
      <c r="O90" s="833"/>
      <c r="P90" s="833"/>
      <c r="Q90" s="833"/>
      <c r="R90" s="669"/>
      <c r="S90" s="833"/>
      <c r="T90" s="833"/>
      <c r="U90" s="670"/>
      <c r="V90" s="833"/>
      <c r="W90" s="833"/>
      <c r="X90" s="833"/>
      <c r="Y90" s="833"/>
      <c r="Z90" s="833"/>
      <c r="AA90" s="671"/>
      <c r="AB90" s="671"/>
      <c r="AC90" s="671"/>
      <c r="AD90" s="671"/>
      <c r="AE90" s="671"/>
      <c r="AF90" s="673">
        <v>0</v>
      </c>
    </row>
    <row r="91" spans="1:32" s="2016" customFormat="1" ht="18.75" hidden="1" customHeight="1">
      <c r="A91" s="3286" t="s">
        <v>615</v>
      </c>
      <c r="C91" s="669"/>
      <c r="D91" s="667"/>
      <c r="E91" s="480" t="str">
        <f>FHD_NUM_P_53</f>
        <v/>
      </c>
      <c r="F91" s="1794" t="str">
        <f>FHD_P_53</f>
        <v/>
      </c>
      <c r="G91" s="1795" t="s">
        <v>614</v>
      </c>
      <c r="H91" s="900"/>
      <c r="I91" s="511"/>
      <c r="J91" s="224" t="str">
        <f>FHD_NOTE_P_53</f>
        <v/>
      </c>
      <c r="K91" s="668"/>
      <c r="L91" s="669"/>
      <c r="M91" s="669"/>
      <c r="R91" s="669"/>
      <c r="U91" s="670"/>
      <c r="AA91" s="671"/>
      <c r="AB91" s="671"/>
      <c r="AC91" s="671"/>
      <c r="AD91" s="671"/>
      <c r="AE91" s="671"/>
      <c r="AF91" s="833">
        <v>0</v>
      </c>
    </row>
    <row r="92" spans="1:32" s="2016" customFormat="1" ht="18.75" hidden="1" customHeight="1">
      <c r="A92" s="3286"/>
      <c r="C92" s="669"/>
      <c r="D92" s="667"/>
      <c r="E92" s="480" t="str">
        <f>FHD_NUM_P_54</f>
        <v/>
      </c>
      <c r="F92" s="1794" t="str">
        <f>FHD_P_54</f>
        <v/>
      </c>
      <c r="G92" s="1795" t="s">
        <v>614</v>
      </c>
      <c r="H92" s="900"/>
      <c r="I92" s="511"/>
      <c r="J92" s="224" t="str">
        <f>FHD_NOTE_P_54</f>
        <v/>
      </c>
      <c r="K92" s="668"/>
      <c r="L92" s="669"/>
      <c r="M92" s="669"/>
      <c r="R92" s="669"/>
      <c r="U92" s="670"/>
      <c r="AA92" s="671"/>
      <c r="AB92" s="671"/>
      <c r="AC92" s="671"/>
      <c r="AD92" s="671"/>
      <c r="AE92" s="671"/>
      <c r="AF92" s="833">
        <v>0</v>
      </c>
    </row>
    <row r="93" spans="1:32" s="2016" customFormat="1" ht="18.75" hidden="1" customHeight="1">
      <c r="A93" s="3286"/>
      <c r="C93" s="669"/>
      <c r="D93" s="672"/>
      <c r="E93" s="480" t="str">
        <f>FHD_NUM_P_55</f>
        <v/>
      </c>
      <c r="F93" s="1794" t="str">
        <f>FHD_P_55</f>
        <v/>
      </c>
      <c r="G93" s="1798"/>
      <c r="H93" s="900"/>
      <c r="I93" s="511"/>
      <c r="J93" s="224" t="str">
        <f>FHD_NOTE_P_55</f>
        <v/>
      </c>
      <c r="K93" s="668"/>
      <c r="L93" s="669"/>
      <c r="M93" s="669"/>
      <c r="R93" s="669"/>
      <c r="U93" s="670"/>
      <c r="AA93" s="671"/>
      <c r="AB93" s="671"/>
      <c r="AC93" s="671"/>
      <c r="AD93" s="671"/>
      <c r="AE93" s="671"/>
      <c r="AF93" s="833">
        <v>0</v>
      </c>
    </row>
    <row r="94" spans="1:32" s="2016" customFormat="1" ht="18.75" hidden="1" customHeight="1">
      <c r="A94" s="3286"/>
      <c r="C94" s="669"/>
      <c r="D94" s="667"/>
      <c r="E94" s="480" t="str">
        <f>FHD_NUM_P_56</f>
        <v/>
      </c>
      <c r="F94" s="1794" t="str">
        <f>FHD_P_56</f>
        <v/>
      </c>
      <c r="G94" s="1795" t="s">
        <v>616</v>
      </c>
      <c r="H94" s="900"/>
      <c r="I94" s="511"/>
      <c r="J94" s="224" t="str">
        <f>FHD_NOTE_P_56</f>
        <v/>
      </c>
      <c r="K94" s="668"/>
      <c r="L94" s="669"/>
      <c r="M94" s="669"/>
      <c r="R94" s="669"/>
      <c r="U94" s="670"/>
      <c r="AA94" s="671"/>
      <c r="AB94" s="671"/>
      <c r="AC94" s="671"/>
      <c r="AD94" s="671"/>
      <c r="AE94" s="671"/>
      <c r="AF94" s="833">
        <v>0</v>
      </c>
    </row>
    <row r="95" spans="1:32" s="2004" customFormat="1" ht="18.75" hidden="1" customHeight="1">
      <c r="A95" s="3286"/>
      <c r="B95" s="833"/>
      <c r="C95" s="669"/>
      <c r="D95" s="667"/>
      <c r="E95" s="480" t="str">
        <f>FHD_NUM_P_57</f>
        <v/>
      </c>
      <c r="F95" s="1794" t="str">
        <f>FHD_P_57</f>
        <v/>
      </c>
      <c r="G95" s="1795" t="s">
        <v>591</v>
      </c>
      <c r="H95" s="899"/>
      <c r="I95" s="491"/>
      <c r="J95" s="224" t="str">
        <f>FHD_NOTE_P_57</f>
        <v/>
      </c>
      <c r="K95" s="668"/>
      <c r="L95" s="669"/>
      <c r="M95" s="669"/>
      <c r="N95" s="833"/>
      <c r="O95" s="833"/>
      <c r="P95" s="833"/>
      <c r="Q95" s="833"/>
      <c r="R95" s="669"/>
      <c r="S95" s="833"/>
      <c r="T95" s="833"/>
      <c r="U95" s="670"/>
      <c r="V95" s="833"/>
      <c r="W95" s="833"/>
      <c r="X95" s="833"/>
      <c r="Y95" s="833"/>
      <c r="Z95" s="833"/>
      <c r="AA95" s="671"/>
      <c r="AB95" s="671"/>
      <c r="AC95" s="671"/>
      <c r="AD95" s="671"/>
      <c r="AE95" s="671"/>
      <c r="AF95" s="673">
        <v>0</v>
      </c>
    </row>
    <row r="96" spans="1:32" ht="18.75" hidden="1" customHeight="1">
      <c r="A96" s="3286" t="s">
        <v>617</v>
      </c>
      <c r="D96" s="1555"/>
      <c r="E96" s="480" t="str">
        <f>FHD_NUM_P_58</f>
        <v/>
      </c>
      <c r="F96" s="1794" t="str">
        <f>FHD_P_58</f>
        <v/>
      </c>
      <c r="G96" s="1795" t="s">
        <v>614</v>
      </c>
      <c r="H96" s="900"/>
      <c r="I96" s="511"/>
      <c r="J96" s="224" t="str">
        <f>FHD_NOTE_P_58</f>
        <v/>
      </c>
      <c r="K96" s="477"/>
      <c r="AF96" s="1548">
        <v>0</v>
      </c>
    </row>
    <row r="97" spans="1:32" ht="18.75" hidden="1" customHeight="1">
      <c r="A97" s="3286"/>
      <c r="D97" s="1555"/>
      <c r="E97" s="480" t="str">
        <f>FHD_NUM_P_59</f>
        <v/>
      </c>
      <c r="F97" s="1794" t="str">
        <f>FHD_P_59</f>
        <v/>
      </c>
      <c r="G97" s="1795" t="s">
        <v>614</v>
      </c>
      <c r="H97" s="900"/>
      <c r="I97" s="511"/>
      <c r="J97" s="224" t="str">
        <f>FHD_NOTE_P_59</f>
        <v/>
      </c>
      <c r="K97" s="477"/>
      <c r="AF97" s="1548">
        <v>0</v>
      </c>
    </row>
    <row r="98" spans="1:32" ht="18.75" hidden="1" customHeight="1">
      <c r="A98" s="3286"/>
      <c r="D98" s="1555"/>
      <c r="E98" s="480" t="str">
        <f>FHD_NUM_P_60</f>
        <v/>
      </c>
      <c r="F98" s="1794" t="str">
        <f>FHD_P_60</f>
        <v/>
      </c>
      <c r="G98" s="1795" t="s">
        <v>614</v>
      </c>
      <c r="H98" s="900"/>
      <c r="I98" s="511"/>
      <c r="J98" s="224" t="str">
        <f>FHD_NOTE_P_60</f>
        <v/>
      </c>
      <c r="K98" s="477"/>
      <c r="AF98" s="1548">
        <v>0</v>
      </c>
    </row>
    <row r="99" spans="1:32" s="2016" customFormat="1" ht="18.75" customHeight="1">
      <c r="A99" s="3286" t="s">
        <v>618</v>
      </c>
      <c r="C99" s="1553"/>
      <c r="D99" s="1555"/>
      <c r="E99" s="480" t="str">
        <f>FHD_NUM_P_61</f>
        <v>7</v>
      </c>
      <c r="F99" s="1794"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792" t="s">
        <v>589</v>
      </c>
      <c r="H99" s="902"/>
      <c r="I99" s="676"/>
      <c r="J99" s="224" t="str">
        <f>FHD_NOTE_P_61</f>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K99" s="477"/>
      <c r="L99" s="1553"/>
      <c r="M99" s="1553"/>
      <c r="R99" s="1553"/>
      <c r="U99" s="478"/>
      <c r="AA99" s="1549"/>
      <c r="AB99" s="1549"/>
      <c r="AC99" s="1549"/>
      <c r="AD99" s="1549"/>
      <c r="AE99" s="1549"/>
      <c r="AF99" s="1077">
        <v>0</v>
      </c>
    </row>
    <row r="100" spans="1:32" s="2017" customFormat="1" ht="0.75" customHeight="1">
      <c r="A100" s="3286"/>
      <c r="D100" s="482"/>
      <c r="E100" s="934" t="str">
        <f>E99&amp;".0"</f>
        <v>7.0</v>
      </c>
      <c r="F100" s="916"/>
      <c r="G100" s="917"/>
      <c r="H100" s="914"/>
      <c r="I100" s="914"/>
      <c r="J100" s="918"/>
      <c r="AF100" s="1553">
        <v>0</v>
      </c>
    </row>
    <row r="101" spans="1:32" ht="15" customHeight="1">
      <c r="A101" s="3286"/>
      <c r="D101" s="1550"/>
      <c r="E101" s="894"/>
      <c r="F101" s="895" t="s">
        <v>619</v>
      </c>
      <c r="G101" s="506"/>
      <c r="H101" s="507"/>
      <c r="I101" s="507"/>
      <c r="J101" s="925" t="s">
        <v>620</v>
      </c>
      <c r="K101" s="477"/>
      <c r="AF101" s="1548">
        <v>0</v>
      </c>
    </row>
    <row r="102" spans="1:32" s="2016" customFormat="1" ht="18.75" customHeight="1">
      <c r="A102" s="3286"/>
      <c r="C102" s="1553"/>
      <c r="D102" s="1555"/>
      <c r="E102" s="480" t="str">
        <f>FHD_NUM_P_62</f>
        <v>8</v>
      </c>
      <c r="F102" s="1794" t="str">
        <f>FHD_P_62</f>
        <v>Тепловая нагрузка по договорам, заключенным в рамках осуществления регулируемых видов деятельности</v>
      </c>
      <c r="G102" s="1791" t="s">
        <v>589</v>
      </c>
      <c r="H102" s="491"/>
      <c r="I102" s="491"/>
      <c r="J102" s="224"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477"/>
      <c r="L102" s="1553"/>
      <c r="M102" s="1553"/>
      <c r="R102" s="1553"/>
      <c r="U102" s="478"/>
      <c r="AA102" s="1549"/>
      <c r="AB102" s="1549"/>
      <c r="AC102" s="1549"/>
      <c r="AD102" s="1549"/>
      <c r="AE102" s="1549"/>
      <c r="AF102" s="1077">
        <v>0</v>
      </c>
    </row>
    <row r="103" spans="1:32" s="2016" customFormat="1" ht="18.75" customHeight="1">
      <c r="A103" s="3286"/>
      <c r="C103" s="1553"/>
      <c r="D103" s="1555"/>
      <c r="E103" s="480" t="str">
        <f>FHD_NUM_P_63</f>
        <v>9</v>
      </c>
      <c r="F103" s="1794" t="str">
        <f>FHD_P_63</f>
        <v>Объем вырабатываемой регулируемой организацией тепловой энергии в рамках осуществления регулируемых видов деятельности</v>
      </c>
      <c r="G103" s="1791" t="s">
        <v>616</v>
      </c>
      <c r="H103" s="511"/>
      <c r="I103" s="511"/>
      <c r="J103" s="224"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477"/>
      <c r="L103" s="1553"/>
      <c r="M103" s="1553"/>
      <c r="R103" s="1553"/>
      <c r="U103" s="478"/>
      <c r="AA103" s="1549"/>
      <c r="AB103" s="1549"/>
      <c r="AC103" s="1549"/>
      <c r="AD103" s="1549"/>
      <c r="AE103" s="1549"/>
      <c r="AF103" s="1077">
        <v>0</v>
      </c>
    </row>
    <row r="104" spans="1:32" s="2016" customFormat="1" ht="18.75" customHeight="1">
      <c r="A104" s="3286"/>
      <c r="C104" s="1553" t="s">
        <v>621</v>
      </c>
      <c r="D104" s="1555"/>
      <c r="E104" s="480" t="str">
        <f>FHD_NUM_P_64</f>
        <v>9.1</v>
      </c>
      <c r="F104" s="1794" t="str">
        <f>FHD_P_64</f>
        <v>Объем приобретаемой регулируемой организацией тепловой энергии в рамках осуществления регулируемых видов деятельности</v>
      </c>
      <c r="G104" s="1791" t="s">
        <v>616</v>
      </c>
      <c r="H104" s="479"/>
      <c r="I104" s="479"/>
      <c r="J104" s="224" t="str">
        <f>FHD_NOTE_P_64</f>
        <v>Информация указывается только едиными теплоснабжающими организациями.</v>
      </c>
      <c r="K104" s="477"/>
      <c r="L104" s="1553"/>
      <c r="M104" s="1553"/>
      <c r="R104" s="1553"/>
      <c r="U104" s="478"/>
      <c r="AA104" s="1549"/>
      <c r="AB104" s="1549"/>
      <c r="AC104" s="1549"/>
      <c r="AD104" s="1549"/>
      <c r="AE104" s="1549"/>
      <c r="AF104" s="1077">
        <v>0</v>
      </c>
    </row>
    <row r="105" spans="1:32" s="2016" customFormat="1" ht="18.75" customHeight="1">
      <c r="A105" s="3286"/>
      <c r="C105" s="1553"/>
      <c r="D105" s="1555"/>
      <c r="E105" s="480" t="str">
        <f>FHD_NUM_P_65</f>
        <v>10</v>
      </c>
      <c r="F105" s="1794"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791" t="s">
        <v>616</v>
      </c>
      <c r="H105" s="511"/>
      <c r="I105" s="511"/>
      <c r="J105" s="224" t="str">
        <f>FHD_NOTE_P_65</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477"/>
      <c r="L105" s="1553"/>
      <c r="M105" s="1553"/>
      <c r="R105" s="1553"/>
      <c r="U105" s="478"/>
      <c r="AA105" s="1549"/>
      <c r="AB105" s="1549"/>
      <c r="AC105" s="1549"/>
      <c r="AD105" s="1549"/>
      <c r="AE105" s="1549"/>
      <c r="AF105" s="1077">
        <v>0</v>
      </c>
    </row>
    <row r="106" spans="1:32" s="2016" customFormat="1" ht="18.75" customHeight="1">
      <c r="A106" s="3286"/>
      <c r="C106" s="1553"/>
      <c r="D106" s="1555"/>
      <c r="E106" s="480" t="str">
        <f>FHD_NUM_P_66</f>
        <v>10.1</v>
      </c>
      <c r="F106" s="1441" t="str">
        <f>FHD_P_66</f>
        <v xml:space="preserve">По приборам учёта </v>
      </c>
      <c r="G106" s="1791" t="s">
        <v>616</v>
      </c>
      <c r="H106" s="511"/>
      <c r="I106" s="511"/>
      <c r="J106" s="224" t="str">
        <f>FHD_NOTE_P_66</f>
        <v/>
      </c>
      <c r="K106" s="477"/>
      <c r="L106" s="1553"/>
      <c r="M106" s="1553"/>
      <c r="R106" s="1553"/>
      <c r="U106" s="478"/>
      <c r="AA106" s="1549"/>
      <c r="AB106" s="1549"/>
      <c r="AC106" s="1549"/>
      <c r="AD106" s="1549"/>
      <c r="AE106" s="1549"/>
      <c r="AF106" s="1077">
        <v>0</v>
      </c>
    </row>
    <row r="107" spans="1:32" s="2016" customFormat="1" ht="18.75" customHeight="1">
      <c r="A107" s="3286"/>
      <c r="C107" s="1553"/>
      <c r="D107" s="1555"/>
      <c r="E107" s="480" t="str">
        <f>FHD_NUM_P_67</f>
        <v>10.1.1</v>
      </c>
      <c r="F107" s="1567"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791" t="s">
        <v>616</v>
      </c>
      <c r="H107" s="511"/>
      <c r="I107" s="511"/>
      <c r="J107" s="224" t="str">
        <f>FHD_NOTE_P_67</f>
        <v/>
      </c>
      <c r="K107" s="477"/>
      <c r="L107" s="1553"/>
      <c r="M107" s="1553"/>
      <c r="R107" s="1553"/>
      <c r="U107" s="478"/>
      <c r="AA107" s="1549"/>
      <c r="AB107" s="1549"/>
      <c r="AC107" s="1549"/>
      <c r="AD107" s="1549"/>
      <c r="AE107" s="1549"/>
      <c r="AF107" s="1077">
        <v>0</v>
      </c>
    </row>
    <row r="108" spans="1:32" s="2016" customFormat="1" ht="18.75" customHeight="1">
      <c r="A108" s="3286"/>
      <c r="C108" s="1553"/>
      <c r="D108" s="1555"/>
      <c r="E108" s="480" t="str">
        <f>FHD_NUM_P_68</f>
        <v>10.2</v>
      </c>
      <c r="F108" s="1441" t="str">
        <f>FHD_P_68</f>
        <v>Расчётным путём</v>
      </c>
      <c r="G108" s="1791" t="s">
        <v>616</v>
      </c>
      <c r="H108" s="511"/>
      <c r="I108" s="511"/>
      <c r="J108" s="224" t="str">
        <f>FHD_NOTE_P_68</f>
        <v/>
      </c>
      <c r="K108" s="477"/>
      <c r="L108" s="1553"/>
      <c r="M108" s="1553"/>
      <c r="R108" s="1553"/>
      <c r="U108" s="478"/>
      <c r="AA108" s="1549"/>
      <c r="AB108" s="1549"/>
      <c r="AC108" s="1549"/>
      <c r="AD108" s="1549"/>
      <c r="AE108" s="1549"/>
      <c r="AF108" s="1077">
        <v>0</v>
      </c>
    </row>
    <row r="109" spans="1:32" s="2016" customFormat="1" ht="18.75" customHeight="1">
      <c r="A109" s="3286"/>
      <c r="C109" s="1553"/>
      <c r="D109" s="1555"/>
      <c r="E109" s="480" t="str">
        <f>FHD_NUM_P_69</f>
        <v>10.3</v>
      </c>
      <c r="F109" s="1441" t="str">
        <f>FHD_P_69</f>
        <v>По нормативам потребления коммунальных услуг и нормативам потребления коммунальных ресурсов</v>
      </c>
      <c r="G109" s="1791" t="s">
        <v>616</v>
      </c>
      <c r="H109" s="511"/>
      <c r="I109" s="511"/>
      <c r="J109" s="224" t="str">
        <f>FHD_NOTE_P_69</f>
        <v/>
      </c>
      <c r="K109" s="477"/>
      <c r="L109" s="1553"/>
      <c r="M109" s="1553"/>
      <c r="R109" s="1553"/>
      <c r="U109" s="478"/>
      <c r="AA109" s="1549"/>
      <c r="AB109" s="1549"/>
      <c r="AC109" s="1549"/>
      <c r="AD109" s="1549"/>
      <c r="AE109" s="1549"/>
      <c r="AF109" s="1077">
        <v>0</v>
      </c>
    </row>
    <row r="110" spans="1:32" s="2016" customFormat="1" ht="22.5" customHeight="1">
      <c r="A110" s="3286"/>
      <c r="C110" s="1553"/>
      <c r="D110" s="1555"/>
      <c r="E110" s="480" t="str">
        <f>FHD_NUM_P_70</f>
        <v>11</v>
      </c>
      <c r="F110" s="1794" t="str">
        <f>FHD_P_70</f>
        <v>Нормативы технологических потерь при передаче тепловой энергии, теплоносителя по тепловым сетям, утвержденные уполномоченным органом</v>
      </c>
      <c r="G110" s="1791" t="s">
        <v>622</v>
      </c>
      <c r="H110" s="491"/>
      <c r="I110" s="491"/>
      <c r="J110" s="224" t="str">
        <f>FHD_NOTE_P_70</f>
        <v/>
      </c>
      <c r="K110" s="477"/>
      <c r="L110" s="1553"/>
      <c r="M110" s="1553"/>
      <c r="R110" s="1553"/>
      <c r="U110" s="478"/>
      <c r="AA110" s="1549"/>
      <c r="AB110" s="1549"/>
      <c r="AC110" s="1549"/>
      <c r="AD110" s="1549"/>
      <c r="AE110" s="1549"/>
      <c r="AF110" s="1077">
        <v>0</v>
      </c>
    </row>
    <row r="111" spans="1:32" s="2016" customFormat="1" ht="22.5" customHeight="1">
      <c r="A111" s="3286"/>
      <c r="C111" s="1553"/>
      <c r="D111" s="1555"/>
      <c r="E111" s="480" t="str">
        <f>FHD_NUM_P_71</f>
        <v>12</v>
      </c>
      <c r="F111" s="1794" t="str">
        <f>FHD_P_71</f>
        <v>Фактический объем потерь при передаче тепловой энергии</v>
      </c>
      <c r="G111" s="1791" t="s">
        <v>622</v>
      </c>
      <c r="H111" s="491"/>
      <c r="I111" s="491"/>
      <c r="J111" s="224" t="str">
        <f>FHD_NOTE_P_71</f>
        <v/>
      </c>
      <c r="K111" s="477"/>
      <c r="L111" s="1553"/>
      <c r="M111" s="1553"/>
      <c r="R111" s="1553"/>
      <c r="U111" s="478"/>
      <c r="AA111" s="1549"/>
      <c r="AB111" s="1549"/>
      <c r="AC111" s="1549"/>
      <c r="AD111" s="1549"/>
      <c r="AE111" s="1549"/>
      <c r="AF111" s="1077">
        <v>0</v>
      </c>
    </row>
    <row r="112" spans="1:32" ht="20" customHeight="1">
      <c r="D112" s="1555"/>
      <c r="E112" s="480" t="str">
        <f>FHD_NUM_P_72</f>
        <v>13</v>
      </c>
      <c r="F112" s="1794" t="str">
        <f>FHD_P_72</f>
        <v>Среднесписочная численность основного производственного персонала</v>
      </c>
      <c r="G112" s="1790" t="s">
        <v>623</v>
      </c>
      <c r="H112" s="511"/>
      <c r="I112" s="511"/>
      <c r="J112" s="224" t="str">
        <f>FHD_NOTE_P_72</f>
        <v/>
      </c>
      <c r="K112" s="477"/>
      <c r="AF112" s="1548">
        <v>19</v>
      </c>
    </row>
    <row r="113" spans="1:32" ht="18.75" customHeight="1">
      <c r="A113" s="911" t="s">
        <v>624</v>
      </c>
      <c r="D113" s="1555"/>
      <c r="E113" s="480" t="str">
        <f>FHD_NUM_P_73</f>
        <v>14</v>
      </c>
      <c r="F113" s="1794" t="str">
        <f>FHD_P_73</f>
        <v>Среднесписочная численность административно-управленческого персонала</v>
      </c>
      <c r="G113" s="893" t="s">
        <v>623</v>
      </c>
      <c r="H113" s="891"/>
      <c r="I113" s="891"/>
      <c r="J113" s="224" t="str">
        <f>FHD_NOTE_P_73</f>
        <v/>
      </c>
      <c r="K113" s="477"/>
      <c r="AF113" s="1548">
        <v>0</v>
      </c>
    </row>
    <row r="114" spans="1:32" ht="33.75" hidden="1" customHeight="1">
      <c r="A114" s="911" t="s">
        <v>625</v>
      </c>
      <c r="D114" s="1555"/>
      <c r="E114" s="480" t="str">
        <f>FHD_NUM_P_74</f>
        <v/>
      </c>
      <c r="F114" s="1794" t="str">
        <f>FHD_P_74</f>
        <v/>
      </c>
      <c r="G114" s="1790" t="s">
        <v>626</v>
      </c>
      <c r="H114" s="511"/>
      <c r="I114" s="511"/>
      <c r="J114" s="224" t="str">
        <f>FHD_NOTE_P_74</f>
        <v/>
      </c>
      <c r="K114" s="477"/>
      <c r="AF114" s="1548">
        <v>0</v>
      </c>
    </row>
    <row r="115" spans="1:32" s="2004" customFormat="1" ht="18.75" hidden="1" customHeight="1">
      <c r="A115" s="3286" t="s">
        <v>627</v>
      </c>
      <c r="B115" s="833"/>
      <c r="C115" s="669"/>
      <c r="D115" s="667"/>
      <c r="E115" s="480" t="str">
        <f>FHD_NUM_P_75</f>
        <v/>
      </c>
      <c r="F115" s="1794" t="str">
        <f>FHD_P_75</f>
        <v/>
      </c>
      <c r="G115" s="1790" t="s">
        <v>591</v>
      </c>
      <c r="H115" s="491"/>
      <c r="I115" s="491"/>
      <c r="J115" s="224" t="str">
        <f>FHD_NOTE_P_75</f>
        <v/>
      </c>
      <c r="K115" s="668"/>
      <c r="L115" s="669"/>
      <c r="M115" s="669"/>
      <c r="N115" s="833"/>
      <c r="O115" s="833"/>
      <c r="P115" s="833"/>
      <c r="Q115" s="833"/>
      <c r="R115" s="669"/>
      <c r="S115" s="833"/>
      <c r="T115" s="833"/>
      <c r="U115" s="670"/>
      <c r="V115" s="833"/>
      <c r="W115" s="833"/>
      <c r="X115" s="833"/>
      <c r="Y115" s="833"/>
      <c r="Z115" s="833"/>
      <c r="AA115" s="671"/>
      <c r="AB115" s="671"/>
      <c r="AC115" s="671"/>
      <c r="AD115" s="671"/>
      <c r="AE115" s="671"/>
      <c r="AF115" s="673">
        <v>0</v>
      </c>
    </row>
    <row r="116" spans="1:32" s="2004" customFormat="1" ht="18.75" hidden="1" customHeight="1">
      <c r="A116" s="3286"/>
      <c r="B116" s="833"/>
      <c r="C116" s="669"/>
      <c r="D116" s="667"/>
      <c r="E116" s="480" t="str">
        <f>FHD_NUM_P_76</f>
        <v/>
      </c>
      <c r="F116" s="1794" t="str">
        <f>FHD_P_76</f>
        <v/>
      </c>
      <c r="G116" s="1790" t="s">
        <v>591</v>
      </c>
      <c r="H116" s="491"/>
      <c r="I116" s="491"/>
      <c r="J116" s="224" t="str">
        <f>FHD_NOTE_P_76</f>
        <v/>
      </c>
      <c r="K116" s="668"/>
      <c r="L116" s="669"/>
      <c r="M116" s="669"/>
      <c r="N116" s="833"/>
      <c r="O116" s="833"/>
      <c r="P116" s="833"/>
      <c r="Q116" s="833"/>
      <c r="R116" s="669"/>
      <c r="S116" s="833"/>
      <c r="T116" s="833"/>
      <c r="U116" s="670"/>
      <c r="V116" s="833"/>
      <c r="W116" s="833"/>
      <c r="X116" s="833"/>
      <c r="Y116" s="833"/>
      <c r="Z116" s="833"/>
      <c r="AA116" s="671"/>
      <c r="AB116" s="671"/>
      <c r="AC116" s="671"/>
      <c r="AD116" s="671"/>
      <c r="AE116" s="671"/>
      <c r="AF116" s="673">
        <v>0</v>
      </c>
    </row>
    <row r="117" spans="1:32" s="2004" customFormat="1" ht="18.75" hidden="1" customHeight="1">
      <c r="A117" s="3286"/>
      <c r="B117" s="833"/>
      <c r="C117" s="669"/>
      <c r="D117" s="667"/>
      <c r="E117" s="480" t="str">
        <f>FHD_NUM_P_77</f>
        <v/>
      </c>
      <c r="F117" s="1794" t="str">
        <f>FHD_P_77</f>
        <v/>
      </c>
      <c r="G117" s="1790" t="s">
        <v>591</v>
      </c>
      <c r="H117" s="491"/>
      <c r="I117" s="491"/>
      <c r="J117" s="224" t="str">
        <f>FHD_NOTE_P_77</f>
        <v/>
      </c>
      <c r="K117" s="668"/>
      <c r="L117" s="669"/>
      <c r="M117" s="669"/>
      <c r="N117" s="833"/>
      <c r="O117" s="833"/>
      <c r="P117" s="833"/>
      <c r="Q117" s="833"/>
      <c r="R117" s="669"/>
      <c r="S117" s="833"/>
      <c r="T117" s="833"/>
      <c r="U117" s="670"/>
      <c r="V117" s="833"/>
      <c r="W117" s="833"/>
      <c r="X117" s="833"/>
      <c r="Y117" s="833"/>
      <c r="Z117" s="833"/>
      <c r="AA117" s="671"/>
      <c r="AB117" s="671"/>
      <c r="AC117" s="671"/>
      <c r="AD117" s="671"/>
      <c r="AE117" s="671"/>
      <c r="AF117" s="673">
        <v>0</v>
      </c>
    </row>
    <row r="118" spans="1:32" s="2017" customFormat="1" ht="0.75" hidden="1" customHeight="1">
      <c r="A118" s="3286"/>
      <c r="D118" s="482"/>
      <c r="E118" s="934" t="str">
        <f>E117&amp;".0"</f>
        <v>.0</v>
      </c>
      <c r="F118" s="919"/>
      <c r="G118" s="1568"/>
      <c r="H118" s="914"/>
      <c r="I118" s="914"/>
      <c r="J118" s="918"/>
      <c r="AF118" s="1553">
        <v>0</v>
      </c>
    </row>
    <row r="119" spans="1:32" s="2004" customFormat="1" ht="15" hidden="1" customHeight="1">
      <c r="A119" s="3286"/>
      <c r="B119" s="833"/>
      <c r="C119" s="669"/>
      <c r="D119" s="680"/>
      <c r="E119" s="896"/>
      <c r="F119" s="897" t="s">
        <v>628</v>
      </c>
      <c r="G119" s="681"/>
      <c r="H119" s="682"/>
      <c r="I119" s="682"/>
      <c r="J119" s="924" t="s">
        <v>629</v>
      </c>
      <c r="K119" s="668"/>
      <c r="L119" s="669"/>
      <c r="M119" s="669"/>
      <c r="N119" s="833"/>
      <c r="O119" s="833"/>
      <c r="P119" s="833"/>
      <c r="Q119" s="833"/>
      <c r="R119" s="669"/>
      <c r="S119" s="833"/>
      <c r="T119" s="833"/>
      <c r="U119" s="670"/>
      <c r="V119" s="833"/>
      <c r="W119" s="833"/>
      <c r="X119" s="833"/>
      <c r="Y119" s="833"/>
      <c r="Z119" s="833"/>
      <c r="AA119" s="671"/>
      <c r="AB119" s="671"/>
      <c r="AC119" s="671"/>
      <c r="AD119" s="671"/>
      <c r="AE119" s="671"/>
      <c r="AF119" s="673">
        <v>0</v>
      </c>
    </row>
    <row r="120" spans="1:32" ht="22.5" customHeight="1">
      <c r="A120" s="3286" t="s">
        <v>630</v>
      </c>
      <c r="D120" s="1555"/>
      <c r="E120" s="480" t="str">
        <f>FHD_NUM_P_78</f>
        <v>15</v>
      </c>
      <c r="F120" s="1794"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791" t="s">
        <v>593</v>
      </c>
      <c r="H120" s="511"/>
      <c r="I120" s="511"/>
      <c r="J120" s="224" t="str">
        <f>FHD_NOTE_P_78</f>
        <v/>
      </c>
      <c r="K120" s="477"/>
      <c r="AF120" s="1548">
        <v>0</v>
      </c>
    </row>
    <row r="121" spans="1:32" s="2017" customFormat="1" ht="0.75" customHeight="1">
      <c r="A121" s="3286"/>
      <c r="D121" s="482"/>
      <c r="E121" s="934" t="str">
        <f>E120&amp;".0"</f>
        <v>15.0</v>
      </c>
      <c r="F121" s="919"/>
      <c r="G121" s="1568"/>
      <c r="H121" s="914"/>
      <c r="I121" s="914"/>
      <c r="J121" s="918"/>
      <c r="AF121" s="1553">
        <v>0</v>
      </c>
    </row>
    <row r="122" spans="1:32" ht="15" customHeight="1">
      <c r="A122" s="3286"/>
      <c r="D122" s="1550"/>
      <c r="E122" s="504"/>
      <c r="F122" s="1085" t="s">
        <v>619</v>
      </c>
      <c r="G122" s="506"/>
      <c r="H122" s="507"/>
      <c r="I122" s="507"/>
      <c r="J122" s="925" t="s">
        <v>631</v>
      </c>
      <c r="K122" s="477"/>
      <c r="AF122" s="1548">
        <v>0</v>
      </c>
    </row>
    <row r="123" spans="1:32" ht="22.5" customHeight="1">
      <c r="A123" s="3286"/>
      <c r="D123" s="1555"/>
      <c r="E123" s="480" t="str">
        <f>FHD_NUM_P_79</f>
        <v>16</v>
      </c>
      <c r="F123" s="1794"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792" t="s">
        <v>595</v>
      </c>
      <c r="H123" s="511"/>
      <c r="I123" s="511"/>
      <c r="J123" s="224"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477"/>
      <c r="AF123" s="1548">
        <v>0</v>
      </c>
    </row>
    <row r="124" spans="1:32" s="2017" customFormat="1" ht="0.75" customHeight="1">
      <c r="A124" s="3286"/>
      <c r="D124" s="482"/>
      <c r="E124" s="934" t="str">
        <f>E123&amp;".0"</f>
        <v>16.0</v>
      </c>
      <c r="F124" s="920"/>
      <c r="G124" s="1568"/>
      <c r="H124" s="914"/>
      <c r="I124" s="914"/>
      <c r="J124" s="918"/>
      <c r="AF124" s="1553">
        <v>0</v>
      </c>
    </row>
    <row r="125" spans="1:32" ht="15" customHeight="1">
      <c r="A125" s="3286"/>
      <c r="D125" s="1550"/>
      <c r="E125" s="504"/>
      <c r="F125" s="1085" t="s">
        <v>619</v>
      </c>
      <c r="G125" s="506"/>
      <c r="H125" s="507"/>
      <c r="I125" s="507"/>
      <c r="J125" s="925" t="s">
        <v>632</v>
      </c>
      <c r="K125" s="477"/>
      <c r="AF125" s="1548">
        <v>0</v>
      </c>
    </row>
    <row r="126" spans="1:32" ht="22.5" customHeight="1">
      <c r="A126" s="3286"/>
      <c r="D126" s="1555"/>
      <c r="E126" s="480" t="str">
        <f>FHD_NUM_P_80</f>
        <v>17</v>
      </c>
      <c r="F126" s="1794"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792" t="s">
        <v>633</v>
      </c>
      <c r="H126" s="491"/>
      <c r="I126" s="491"/>
      <c r="J126" s="224" t="str">
        <f>FHD_NOTE_P_80</f>
        <v>Регулируемыми организациями указывается информация с по договорам, заключенным в рамках осуществления регулируемой деятельности.</v>
      </c>
      <c r="K126" s="477"/>
      <c r="AF126" s="1548">
        <v>0</v>
      </c>
    </row>
    <row r="127" spans="1:32" ht="18.75" customHeight="1">
      <c r="A127" s="3286"/>
      <c r="D127" s="1555"/>
      <c r="E127" s="480" t="str">
        <f>FHD_NUM_P_81</f>
        <v>18</v>
      </c>
      <c r="F127" s="1794"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792" t="s">
        <v>634</v>
      </c>
      <c r="H127" s="491"/>
      <c r="I127" s="491"/>
      <c r="J127" s="224" t="str">
        <f>FHD_NOTE_P_81</f>
        <v>Регулируемыми организациями указывается информация с по договорам, заключенным в рамках осуществления регулируемой деятельности.</v>
      </c>
      <c r="K127" s="477"/>
      <c r="AF127" s="1548">
        <v>0</v>
      </c>
    </row>
    <row r="128" spans="1:32" ht="18.75" customHeight="1">
      <c r="A128" s="3286"/>
      <c r="C128" s="1553" t="s">
        <v>621</v>
      </c>
      <c r="D128" s="1555"/>
      <c r="E128" s="480" t="str">
        <f>FHD_NUM_P_82</f>
        <v>19</v>
      </c>
      <c r="F128" s="1794"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792" t="s">
        <v>341</v>
      </c>
      <c r="H128" s="335"/>
      <c r="I128" s="335"/>
      <c r="J128" s="224" t="str">
        <f>FHD_NOTE_P_82</f>
        <v>Указывается ссылка на документ, предварительно загруженный в хранилище файлов ФГИС ЕИАС.</v>
      </c>
      <c r="K128" s="477"/>
      <c r="AF128" s="1548">
        <v>0</v>
      </c>
    </row>
    <row r="129" spans="1:32" ht="18.75" customHeight="1">
      <c r="A129" s="3286"/>
      <c r="C129" s="1553" t="s">
        <v>621</v>
      </c>
      <c r="D129" s="1555"/>
      <c r="E129" s="480" t="str">
        <f>FHD_NUM_P_83</f>
        <v>19.1</v>
      </c>
      <c r="F129" s="1441" t="str">
        <f>FHD_P_83</f>
        <v>Информация о показателях физического износа объектов теплоснабжения</v>
      </c>
      <c r="G129" s="1792" t="s">
        <v>341</v>
      </c>
      <c r="H129" s="335"/>
      <c r="I129" s="335"/>
      <c r="J129" s="224" t="str">
        <f>FHD_NOTE_P_83</f>
        <v>Указывается ссылка на документ, предварительно загруженный в хранилище файлов ФГИС ЕИАС.</v>
      </c>
      <c r="K129" s="477"/>
      <c r="AF129" s="1548">
        <v>0</v>
      </c>
    </row>
    <row r="130" spans="1:32" ht="18.75" customHeight="1">
      <c r="A130" s="3286"/>
      <c r="C130" s="1553" t="s">
        <v>621</v>
      </c>
      <c r="D130" s="1555"/>
      <c r="E130" s="480" t="str">
        <f>FHD_NUM_P_84</f>
        <v>19.2</v>
      </c>
      <c r="F130" s="1441" t="str">
        <f>FHD_P_84</f>
        <v>Информация о показателях энергетической эффективности объектов теплоснабжения</v>
      </c>
      <c r="G130" s="1792" t="s">
        <v>341</v>
      </c>
      <c r="H130" s="335"/>
      <c r="I130" s="335"/>
      <c r="J130" s="224" t="str">
        <f>FHD_NOTE_P_84</f>
        <v>Указывается ссылка на документ, предварительно загруженный в хранилище файлов ФГИС ЕИАС.</v>
      </c>
      <c r="K130" s="477"/>
      <c r="AF130" s="1548">
        <v>0</v>
      </c>
    </row>
    <row r="131" spans="1:32" ht="11.5" customHeight="1">
      <c r="D131" s="1555"/>
      <c r="AF131" s="1548">
        <v>11</v>
      </c>
    </row>
    <row r="132" spans="1:32" ht="13.5" customHeight="1">
      <c r="D132" s="1555"/>
      <c r="E132" s="271"/>
      <c r="F132" s="303"/>
      <c r="G132" s="303"/>
      <c r="H132" s="303"/>
      <c r="I132" s="1564"/>
      <c r="J132" s="515"/>
      <c r="AF132" s="1548">
        <v>13</v>
      </c>
    </row>
    <row r="133" spans="1:32" s="2212" customFormat="1" ht="11.5" customHeight="1">
      <c r="A133" s="909"/>
      <c r="B133" s="1553"/>
      <c r="C133" s="1553"/>
      <c r="D133" s="285"/>
      <c r="F133" s="1557"/>
      <c r="G133" s="1548"/>
      <c r="H133" s="1548"/>
      <c r="I133" s="1548"/>
      <c r="K133" s="1077"/>
      <c r="L133" s="1553"/>
      <c r="M133" s="1553"/>
      <c r="N133" s="1077"/>
      <c r="O133" s="1077"/>
      <c r="P133" s="1077"/>
      <c r="Q133" s="1077"/>
      <c r="R133" s="1553"/>
      <c r="S133" s="1077"/>
      <c r="T133" s="1077"/>
      <c r="U133" s="478"/>
      <c r="V133" s="1077"/>
      <c r="W133" s="1077"/>
      <c r="X133" s="1077"/>
      <c r="Y133" s="1077"/>
      <c r="Z133" s="1077"/>
      <c r="AA133" s="1549"/>
      <c r="AB133" s="500"/>
      <c r="AC133" s="500"/>
      <c r="AD133" s="500"/>
      <c r="AE133" s="500"/>
      <c r="AF133" s="1558">
        <v>11</v>
      </c>
    </row>
    <row r="134" spans="1:32" s="2212" customFormat="1" ht="11.5" customHeight="1">
      <c r="A134" s="909"/>
      <c r="B134" s="1553"/>
      <c r="C134" s="1553"/>
      <c r="D134" s="285"/>
      <c r="K134" s="1077"/>
      <c r="L134" s="1553"/>
      <c r="M134" s="1553"/>
      <c r="N134" s="1077"/>
      <c r="O134" s="1077"/>
      <c r="P134" s="1077"/>
      <c r="Q134" s="1077"/>
      <c r="R134" s="1553"/>
      <c r="S134" s="1077"/>
      <c r="T134" s="1077"/>
      <c r="U134" s="478"/>
      <c r="V134" s="1077"/>
      <c r="W134" s="1077"/>
      <c r="X134" s="1077"/>
      <c r="Y134" s="1077"/>
      <c r="Z134" s="1077"/>
      <c r="AA134" s="1549"/>
      <c r="AB134" s="500"/>
      <c r="AC134" s="500"/>
      <c r="AD134" s="500"/>
      <c r="AE134" s="500"/>
      <c r="AF134" s="1558">
        <v>11</v>
      </c>
    </row>
    <row r="135" spans="1:32" s="2212" customFormat="1" ht="11.5" customHeight="1">
      <c r="A135" s="909"/>
      <c r="B135" s="1553"/>
      <c r="C135" s="1553"/>
      <c r="D135" s="285"/>
      <c r="K135" s="1077"/>
      <c r="L135" s="1553"/>
      <c r="M135" s="1553"/>
      <c r="N135" s="1077"/>
      <c r="O135" s="1077"/>
      <c r="P135" s="1077"/>
      <c r="Q135" s="1077"/>
      <c r="R135" s="1553"/>
      <c r="S135" s="1077"/>
      <c r="T135" s="1077"/>
      <c r="U135" s="478"/>
      <c r="V135" s="1077"/>
      <c r="W135" s="1077"/>
      <c r="X135" s="1077"/>
      <c r="Y135" s="1077"/>
      <c r="Z135" s="1077"/>
      <c r="AA135" s="1549"/>
      <c r="AB135" s="500"/>
      <c r="AC135" s="500"/>
      <c r="AD135" s="500"/>
      <c r="AE135" s="500"/>
      <c r="AF135" s="1558">
        <v>11</v>
      </c>
    </row>
    <row r="136" spans="1:32" s="2212" customFormat="1" ht="11.5" customHeight="1">
      <c r="A136" s="909"/>
      <c r="B136" s="1553"/>
      <c r="C136" s="1553"/>
      <c r="D136" s="285"/>
      <c r="H136" s="500" t="str">
        <f>IF(H30-H31&lt;&gt;H72,"WARNING","")</f>
        <v/>
      </c>
      <c r="I136" s="500" t="str">
        <f>IF(I30-I31&lt;&gt;I72,"WARNING","")</f>
        <v/>
      </c>
      <c r="K136" s="1077"/>
      <c r="L136" s="1553"/>
      <c r="M136" s="1553"/>
      <c r="N136" s="1077"/>
      <c r="O136" s="1077"/>
      <c r="P136" s="1077"/>
      <c r="Q136" s="1077"/>
      <c r="R136" s="1553"/>
      <c r="S136" s="1077"/>
      <c r="T136" s="1077"/>
      <c r="U136" s="478"/>
      <c r="V136" s="1077"/>
      <c r="W136" s="1077"/>
      <c r="X136" s="1077"/>
      <c r="Y136" s="1077"/>
      <c r="Z136" s="1077"/>
      <c r="AA136" s="1549"/>
      <c r="AB136" s="500"/>
      <c r="AC136" s="500"/>
      <c r="AD136" s="500"/>
      <c r="AE136" s="500"/>
      <c r="AF136" s="1558">
        <v>11</v>
      </c>
    </row>
    <row r="137" spans="1:32" s="2212" customFormat="1" ht="11.5" customHeight="1">
      <c r="A137" s="909"/>
      <c r="B137" s="1553"/>
      <c r="C137" s="1553"/>
      <c r="D137" s="285"/>
      <c r="K137" s="1077"/>
      <c r="L137" s="1553"/>
      <c r="M137" s="1553"/>
      <c r="N137" s="1077"/>
      <c r="O137" s="1077"/>
      <c r="P137" s="1077"/>
      <c r="Q137" s="1077"/>
      <c r="R137" s="1553"/>
      <c r="S137" s="1077"/>
      <c r="T137" s="1077"/>
      <c r="U137" s="478"/>
      <c r="V137" s="1077"/>
      <c r="W137" s="1077"/>
      <c r="X137" s="1077"/>
      <c r="Y137" s="1077"/>
      <c r="Z137" s="1077"/>
      <c r="AA137" s="1549"/>
      <c r="AB137" s="500"/>
      <c r="AC137" s="500"/>
      <c r="AD137" s="500"/>
      <c r="AE137" s="500"/>
      <c r="AF137" s="1558">
        <v>11</v>
      </c>
    </row>
    <row r="138" spans="1:32" s="2212" customFormat="1" ht="11.5" customHeight="1">
      <c r="A138" s="909"/>
      <c r="B138" s="1553"/>
      <c r="C138" s="1553"/>
      <c r="D138" s="285"/>
      <c r="K138" s="1077"/>
      <c r="L138" s="1553"/>
      <c r="M138" s="1553"/>
      <c r="N138" s="1077"/>
      <c r="O138" s="1077"/>
      <c r="P138" s="1077"/>
      <c r="Q138" s="1077"/>
      <c r="R138" s="1553"/>
      <c r="S138" s="1077"/>
      <c r="T138" s="1077"/>
      <c r="U138" s="478"/>
      <c r="V138" s="1077"/>
      <c r="W138" s="1077"/>
      <c r="X138" s="1077"/>
      <c r="Y138" s="1077"/>
      <c r="Z138" s="1077"/>
      <c r="AA138" s="1549"/>
      <c r="AB138" s="500"/>
      <c r="AC138" s="500"/>
      <c r="AD138" s="500"/>
      <c r="AE138" s="500"/>
      <c r="AF138" s="1558">
        <v>11</v>
      </c>
    </row>
    <row r="139" spans="1:32" s="2212" customFormat="1" ht="11.5" customHeight="1">
      <c r="A139" s="909"/>
      <c r="B139" s="1553"/>
      <c r="C139" s="1553"/>
      <c r="D139" s="285"/>
      <c r="K139" s="1077"/>
      <c r="L139" s="1553"/>
      <c r="M139" s="1553"/>
      <c r="N139" s="1077"/>
      <c r="O139" s="1077"/>
      <c r="P139" s="1077"/>
      <c r="Q139" s="1077"/>
      <c r="R139" s="1553"/>
      <c r="S139" s="1077"/>
      <c r="T139" s="1077"/>
      <c r="U139" s="478"/>
      <c r="V139" s="1077"/>
      <c r="W139" s="1077"/>
      <c r="X139" s="1077"/>
      <c r="Y139" s="1077"/>
      <c r="Z139" s="1077"/>
      <c r="AA139" s="1549"/>
      <c r="AB139" s="500"/>
      <c r="AC139" s="500"/>
      <c r="AD139" s="500"/>
      <c r="AE139" s="500"/>
      <c r="AF139" s="1558">
        <v>11</v>
      </c>
    </row>
    <row r="140" spans="1:32" s="2212" customFormat="1" ht="11.5" customHeight="1">
      <c r="A140" s="909"/>
      <c r="B140" s="1553"/>
      <c r="C140" s="1553"/>
      <c r="D140" s="285"/>
      <c r="K140" s="1077"/>
      <c r="L140" s="1553"/>
      <c r="M140" s="1553"/>
      <c r="N140" s="1077"/>
      <c r="O140" s="1077"/>
      <c r="P140" s="1077"/>
      <c r="Q140" s="1077"/>
      <c r="R140" s="1553"/>
      <c r="S140" s="1077"/>
      <c r="T140" s="1077"/>
      <c r="U140" s="478"/>
      <c r="V140" s="1077"/>
      <c r="W140" s="1077"/>
      <c r="X140" s="1077"/>
      <c r="Y140" s="1077"/>
      <c r="Z140" s="1077"/>
      <c r="AA140" s="1549"/>
      <c r="AB140" s="500"/>
      <c r="AC140" s="500"/>
      <c r="AD140" s="500"/>
      <c r="AE140" s="500"/>
      <c r="AF140" s="1558">
        <v>11</v>
      </c>
    </row>
    <row r="141" spans="1:32" s="2212" customFormat="1" ht="11.5" customHeight="1">
      <c r="A141" s="909"/>
      <c r="B141" s="1553"/>
      <c r="C141" s="1553"/>
      <c r="D141" s="285"/>
      <c r="K141" s="1077"/>
      <c r="L141" s="1553"/>
      <c r="M141" s="1553"/>
      <c r="N141" s="1077"/>
      <c r="O141" s="1077"/>
      <c r="P141" s="1077"/>
      <c r="Q141" s="1077"/>
      <c r="R141" s="1553"/>
      <c r="S141" s="1077"/>
      <c r="T141" s="1077"/>
      <c r="U141" s="478"/>
      <c r="V141" s="1077"/>
      <c r="W141" s="1077"/>
      <c r="X141" s="1077"/>
      <c r="Y141" s="1077"/>
      <c r="Z141" s="1077"/>
      <c r="AA141" s="1549"/>
      <c r="AB141" s="500"/>
      <c r="AC141" s="500"/>
      <c r="AD141" s="500"/>
      <c r="AE141" s="500"/>
      <c r="AF141" s="1558">
        <v>11</v>
      </c>
    </row>
    <row r="142" spans="1:32" s="2212" customFormat="1" ht="11.5" customHeight="1">
      <c r="A142" s="909"/>
      <c r="B142" s="1553"/>
      <c r="C142" s="1553"/>
      <c r="D142" s="285"/>
      <c r="K142" s="1077"/>
      <c r="L142" s="1553"/>
      <c r="M142" s="1553"/>
      <c r="N142" s="1077"/>
      <c r="O142" s="1077"/>
      <c r="P142" s="1077"/>
      <c r="Q142" s="1077"/>
      <c r="R142" s="1553"/>
      <c r="S142" s="1077"/>
      <c r="T142" s="1077"/>
      <c r="U142" s="478"/>
      <c r="V142" s="1077"/>
      <c r="W142" s="1077"/>
      <c r="X142" s="1077"/>
      <c r="Y142" s="1077"/>
      <c r="Z142" s="1077"/>
      <c r="AA142" s="1549"/>
      <c r="AB142" s="500"/>
      <c r="AC142" s="500"/>
      <c r="AD142" s="500"/>
      <c r="AE142" s="500"/>
      <c r="AF142" s="1558">
        <v>11</v>
      </c>
    </row>
    <row r="143" spans="1:32" s="2212" customFormat="1" ht="11.5" customHeight="1">
      <c r="A143" s="909"/>
      <c r="B143" s="1553"/>
      <c r="C143" s="1553"/>
      <c r="D143" s="285"/>
      <c r="K143" s="1077"/>
      <c r="L143" s="1553"/>
      <c r="M143" s="1553"/>
      <c r="N143" s="1077"/>
      <c r="O143" s="1077"/>
      <c r="P143" s="1077"/>
      <c r="Q143" s="1077"/>
      <c r="R143" s="1553"/>
      <c r="S143" s="1077"/>
      <c r="T143" s="1077"/>
      <c r="U143" s="478"/>
      <c r="V143" s="1077"/>
      <c r="W143" s="1077"/>
      <c r="X143" s="1077"/>
      <c r="Y143" s="1077"/>
      <c r="Z143" s="1077"/>
      <c r="AA143" s="1549"/>
      <c r="AB143" s="500"/>
      <c r="AC143" s="500"/>
      <c r="AD143" s="500"/>
      <c r="AE143" s="500"/>
      <c r="AF143" s="1558">
        <v>11</v>
      </c>
    </row>
    <row r="144" spans="1:32" s="2212" customFormat="1" ht="11.5" customHeight="1">
      <c r="A144" s="909"/>
      <c r="B144" s="1553"/>
      <c r="C144" s="1553"/>
      <c r="D144" s="285"/>
      <c r="K144" s="1077"/>
      <c r="L144" s="1553"/>
      <c r="M144" s="1553"/>
      <c r="N144" s="1077"/>
      <c r="O144" s="1077"/>
      <c r="P144" s="1077"/>
      <c r="Q144" s="1077"/>
      <c r="R144" s="1553"/>
      <c r="S144" s="1077"/>
      <c r="T144" s="1077"/>
      <c r="U144" s="478"/>
      <c r="V144" s="1077"/>
      <c r="W144" s="1077"/>
      <c r="X144" s="1077"/>
      <c r="Y144" s="1077"/>
      <c r="Z144" s="1077"/>
      <c r="AA144" s="1549"/>
      <c r="AB144" s="500"/>
      <c r="AC144" s="500"/>
      <c r="AD144" s="500"/>
      <c r="AE144" s="500"/>
      <c r="AF144" s="1558">
        <v>11</v>
      </c>
    </row>
    <row r="145" spans="1:32" s="2212" customFormat="1" ht="11.5" customHeight="1">
      <c r="A145" s="909"/>
      <c r="B145" s="1553"/>
      <c r="C145" s="1553"/>
      <c r="D145" s="285"/>
      <c r="K145" s="1077"/>
      <c r="L145" s="1553"/>
      <c r="M145" s="1553"/>
      <c r="N145" s="1077"/>
      <c r="O145" s="1077"/>
      <c r="P145" s="1077"/>
      <c r="Q145" s="1077"/>
      <c r="R145" s="1553"/>
      <c r="S145" s="1077"/>
      <c r="T145" s="1077"/>
      <c r="U145" s="478"/>
      <c r="V145" s="1077"/>
      <c r="W145" s="1077"/>
      <c r="X145" s="1077"/>
      <c r="Y145" s="1077"/>
      <c r="Z145" s="1077"/>
      <c r="AA145" s="1549"/>
      <c r="AB145" s="500"/>
      <c r="AC145" s="500"/>
      <c r="AD145" s="500"/>
      <c r="AE145" s="500"/>
      <c r="AF145" s="1558">
        <v>11</v>
      </c>
    </row>
    <row r="146" spans="1:32" s="2212" customFormat="1" ht="11.5" customHeight="1">
      <c r="A146" s="909"/>
      <c r="B146" s="1553"/>
      <c r="C146" s="1553"/>
      <c r="D146" s="285"/>
      <c r="K146" s="1077"/>
      <c r="L146" s="1553"/>
      <c r="M146" s="1553"/>
      <c r="N146" s="1077"/>
      <c r="O146" s="1077"/>
      <c r="P146" s="1077"/>
      <c r="Q146" s="1077"/>
      <c r="R146" s="1553"/>
      <c r="S146" s="1077"/>
      <c r="T146" s="1077"/>
      <c r="U146" s="478"/>
      <c r="V146" s="1077"/>
      <c r="W146" s="1077"/>
      <c r="X146" s="1077"/>
      <c r="Y146" s="1077"/>
      <c r="Z146" s="1077"/>
      <c r="AA146" s="1549"/>
      <c r="AB146" s="500"/>
      <c r="AC146" s="500"/>
      <c r="AD146" s="500"/>
      <c r="AE146" s="500"/>
      <c r="AF146" s="1558">
        <v>11</v>
      </c>
    </row>
    <row r="147" spans="1:32" s="2212" customFormat="1" ht="11.5" customHeight="1">
      <c r="A147" s="909"/>
      <c r="B147" s="1553"/>
      <c r="C147" s="1553"/>
      <c r="D147" s="285"/>
      <c r="K147" s="1077"/>
      <c r="L147" s="1553"/>
      <c r="M147" s="1553"/>
      <c r="N147" s="1077"/>
      <c r="O147" s="1077"/>
      <c r="P147" s="1077"/>
      <c r="Q147" s="1077"/>
      <c r="R147" s="1553"/>
      <c r="S147" s="1077"/>
      <c r="T147" s="1077"/>
      <c r="U147" s="478"/>
      <c r="V147" s="1077"/>
      <c r="W147" s="1077"/>
      <c r="X147" s="1077"/>
      <c r="Y147" s="1077"/>
      <c r="Z147" s="1077"/>
      <c r="AA147" s="1549"/>
      <c r="AB147" s="500"/>
      <c r="AC147" s="500"/>
      <c r="AD147" s="500"/>
      <c r="AE147" s="500"/>
      <c r="AF147" s="1558">
        <v>11</v>
      </c>
    </row>
    <row r="148" spans="1:32" s="2212" customFormat="1" ht="11.5" customHeight="1">
      <c r="A148" s="909"/>
      <c r="B148" s="1553"/>
      <c r="C148" s="1553"/>
      <c r="D148" s="285"/>
      <c r="K148" s="1077"/>
      <c r="L148" s="1553"/>
      <c r="M148" s="1553"/>
      <c r="N148" s="1077"/>
      <c r="O148" s="1077"/>
      <c r="P148" s="1077"/>
      <c r="Q148" s="1077"/>
      <c r="R148" s="1553"/>
      <c r="S148" s="1077"/>
      <c r="T148" s="1077"/>
      <c r="U148" s="478"/>
      <c r="V148" s="1077"/>
      <c r="W148" s="1077"/>
      <c r="X148" s="1077"/>
      <c r="Y148" s="1077"/>
      <c r="Z148" s="1077"/>
      <c r="AA148" s="1549"/>
      <c r="AB148" s="500"/>
      <c r="AC148" s="500"/>
      <c r="AD148" s="500"/>
      <c r="AE148" s="500"/>
      <c r="AF148" s="1558">
        <v>11</v>
      </c>
    </row>
    <row r="149" spans="1:32" s="2212" customFormat="1" ht="11.5" customHeight="1">
      <c r="A149" s="909"/>
      <c r="B149" s="1553"/>
      <c r="C149" s="1553"/>
      <c r="D149" s="285"/>
      <c r="K149" s="1077"/>
      <c r="L149" s="1553"/>
      <c r="M149" s="1553"/>
      <c r="N149" s="1077"/>
      <c r="O149" s="1077"/>
      <c r="P149" s="1077"/>
      <c r="Q149" s="1077"/>
      <c r="R149" s="1553"/>
      <c r="S149" s="1077"/>
      <c r="T149" s="1077"/>
      <c r="U149" s="478"/>
      <c r="V149" s="1077"/>
      <c r="W149" s="1077"/>
      <c r="X149" s="1077"/>
      <c r="Y149" s="1077"/>
      <c r="Z149" s="1077"/>
      <c r="AA149" s="1549"/>
      <c r="AB149" s="500"/>
      <c r="AC149" s="500"/>
      <c r="AD149" s="500"/>
      <c r="AE149" s="500"/>
      <c r="AF149" s="1558">
        <v>11</v>
      </c>
    </row>
    <row r="150" spans="1:32" s="2212" customFormat="1" ht="11.5" customHeight="1">
      <c r="A150" s="909"/>
      <c r="B150" s="1553"/>
      <c r="C150" s="1553"/>
      <c r="D150" s="285"/>
      <c r="K150" s="1077"/>
      <c r="L150" s="1553"/>
      <c r="M150" s="1553"/>
      <c r="N150" s="1077"/>
      <c r="O150" s="1077"/>
      <c r="P150" s="1077"/>
      <c r="Q150" s="1077"/>
      <c r="R150" s="1553"/>
      <c r="S150" s="1077"/>
      <c r="T150" s="1077"/>
      <c r="U150" s="478"/>
      <c r="V150" s="1077"/>
      <c r="W150" s="1077"/>
      <c r="X150" s="1077"/>
      <c r="Y150" s="1077"/>
      <c r="Z150" s="1077"/>
      <c r="AA150" s="1549"/>
      <c r="AB150" s="500"/>
      <c r="AC150" s="500"/>
      <c r="AD150" s="500"/>
      <c r="AE150" s="500"/>
      <c r="AF150" s="1558">
        <v>11</v>
      </c>
    </row>
    <row r="151" spans="1:32" s="2212" customFormat="1" ht="11.5" customHeight="1">
      <c r="A151" s="909"/>
      <c r="B151" s="1553"/>
      <c r="C151" s="1553"/>
      <c r="D151" s="285"/>
      <c r="K151" s="1077"/>
      <c r="L151" s="1553"/>
      <c r="M151" s="1553"/>
      <c r="N151" s="1077"/>
      <c r="O151" s="1077"/>
      <c r="P151" s="1077"/>
      <c r="Q151" s="1077"/>
      <c r="R151" s="1553"/>
      <c r="S151" s="1077"/>
      <c r="T151" s="1077"/>
      <c r="U151" s="478"/>
      <c r="V151" s="1077"/>
      <c r="W151" s="1077"/>
      <c r="X151" s="1077"/>
      <c r="Y151" s="1077"/>
      <c r="Z151" s="1077"/>
      <c r="AA151" s="1549"/>
      <c r="AB151" s="500"/>
      <c r="AC151" s="500"/>
      <c r="AD151" s="500"/>
      <c r="AE151" s="500"/>
      <c r="AF151" s="1558">
        <v>11</v>
      </c>
    </row>
    <row r="152" spans="1:32" s="2212" customFormat="1" ht="11.5" customHeight="1">
      <c r="A152" s="909"/>
      <c r="B152" s="1553"/>
      <c r="C152" s="1553"/>
      <c r="D152" s="285"/>
      <c r="K152" s="1077"/>
      <c r="L152" s="1553"/>
      <c r="M152" s="1553"/>
      <c r="N152" s="1077"/>
      <c r="O152" s="1077"/>
      <c r="P152" s="1077"/>
      <c r="Q152" s="1077"/>
      <c r="R152" s="1553"/>
      <c r="S152" s="1077"/>
      <c r="T152" s="1077"/>
      <c r="U152" s="478"/>
      <c r="V152" s="1077"/>
      <c r="W152" s="1077"/>
      <c r="X152" s="1077"/>
      <c r="Y152" s="1077"/>
      <c r="Z152" s="1077"/>
      <c r="AA152" s="1549"/>
      <c r="AB152" s="500"/>
      <c r="AC152" s="500"/>
      <c r="AD152" s="500"/>
      <c r="AE152" s="500"/>
      <c r="AF152" s="1558">
        <v>11</v>
      </c>
    </row>
    <row r="153" spans="1:32" s="2212" customFormat="1" ht="11.5" customHeight="1">
      <c r="A153" s="909"/>
      <c r="B153" s="1553"/>
      <c r="C153" s="1553"/>
      <c r="D153" s="285"/>
      <c r="K153" s="1077"/>
      <c r="L153" s="1553"/>
      <c r="M153" s="1553"/>
      <c r="N153" s="1077"/>
      <c r="O153" s="1077"/>
      <c r="P153" s="1077"/>
      <c r="Q153" s="1077"/>
      <c r="R153" s="1553"/>
      <c r="S153" s="1077"/>
      <c r="T153" s="1077"/>
      <c r="U153" s="478"/>
      <c r="V153" s="1077"/>
      <c r="W153" s="1077"/>
      <c r="X153" s="1077"/>
      <c r="Y153" s="1077"/>
      <c r="Z153" s="1077"/>
      <c r="AA153" s="1549"/>
      <c r="AB153" s="500"/>
      <c r="AC153" s="500"/>
      <c r="AD153" s="500"/>
      <c r="AE153" s="500"/>
      <c r="AF153" s="1558">
        <v>11</v>
      </c>
    </row>
    <row r="154" spans="1:32" s="2212" customFormat="1" ht="11.5" customHeight="1">
      <c r="A154" s="909"/>
      <c r="B154" s="1553"/>
      <c r="C154" s="1553"/>
      <c r="D154" s="285"/>
      <c r="K154" s="1077"/>
      <c r="L154" s="1553"/>
      <c r="M154" s="1553"/>
      <c r="N154" s="1077"/>
      <c r="O154" s="1077"/>
      <c r="P154" s="1077"/>
      <c r="Q154" s="1077"/>
      <c r="R154" s="1553"/>
      <c r="S154" s="1077"/>
      <c r="T154" s="1077"/>
      <c r="U154" s="478"/>
      <c r="V154" s="1077"/>
      <c r="W154" s="1077"/>
      <c r="X154" s="1077"/>
      <c r="Y154" s="1077"/>
      <c r="Z154" s="1077"/>
      <c r="AA154" s="1549"/>
      <c r="AB154" s="500"/>
      <c r="AC154" s="500"/>
      <c r="AD154" s="500"/>
      <c r="AE154" s="500"/>
      <c r="AF154" s="1558">
        <v>11</v>
      </c>
    </row>
    <row r="155" spans="1:32" s="2212" customFormat="1" ht="11.5" customHeight="1">
      <c r="A155" s="909"/>
      <c r="B155" s="1553"/>
      <c r="C155" s="1553"/>
      <c r="D155" s="285"/>
      <c r="K155" s="1077"/>
      <c r="L155" s="1553"/>
      <c r="M155" s="1553"/>
      <c r="N155" s="1077"/>
      <c r="O155" s="1077"/>
      <c r="P155" s="1077"/>
      <c r="Q155" s="1077"/>
      <c r="R155" s="1553"/>
      <c r="S155" s="1077"/>
      <c r="T155" s="1077"/>
      <c r="U155" s="478"/>
      <c r="V155" s="1077"/>
      <c r="W155" s="1077"/>
      <c r="X155" s="1077"/>
      <c r="Y155" s="1077"/>
      <c r="Z155" s="1077"/>
      <c r="AA155" s="1549"/>
      <c r="AB155" s="500"/>
      <c r="AC155" s="500"/>
      <c r="AD155" s="500"/>
      <c r="AE155" s="500"/>
      <c r="AF155" s="1558">
        <v>11</v>
      </c>
    </row>
    <row r="156" spans="1:32" s="2212" customFormat="1" ht="11.5" customHeight="1">
      <c r="A156" s="909"/>
      <c r="B156" s="1553"/>
      <c r="C156" s="1553"/>
      <c r="D156" s="285"/>
      <c r="K156" s="1077"/>
      <c r="L156" s="1553"/>
      <c r="M156" s="1553"/>
      <c r="N156" s="1077"/>
      <c r="O156" s="1077"/>
      <c r="P156" s="1077"/>
      <c r="Q156" s="1077"/>
      <c r="R156" s="1553"/>
      <c r="S156" s="1077"/>
      <c r="T156" s="1077"/>
      <c r="U156" s="478"/>
      <c r="V156" s="1077"/>
      <c r="W156" s="1077"/>
      <c r="X156" s="1077"/>
      <c r="Y156" s="1077"/>
      <c r="Z156" s="1077"/>
      <c r="AA156" s="1549"/>
      <c r="AB156" s="500"/>
      <c r="AC156" s="500"/>
      <c r="AD156" s="500"/>
      <c r="AE156" s="500"/>
      <c r="AF156" s="1558">
        <v>11</v>
      </c>
    </row>
    <row r="157" spans="1:32" s="2212" customFormat="1" ht="11.5" customHeight="1">
      <c r="A157" s="909"/>
      <c r="B157" s="1553"/>
      <c r="C157" s="1553"/>
      <c r="D157" s="285"/>
      <c r="K157" s="1077"/>
      <c r="L157" s="1553"/>
      <c r="M157" s="1553"/>
      <c r="N157" s="1077"/>
      <c r="O157" s="1077"/>
      <c r="P157" s="1077"/>
      <c r="Q157" s="1077"/>
      <c r="R157" s="1553"/>
      <c r="S157" s="1077"/>
      <c r="T157" s="1077"/>
      <c r="U157" s="478"/>
      <c r="V157" s="1077"/>
      <c r="W157" s="1077"/>
      <c r="X157" s="1077"/>
      <c r="Y157" s="1077"/>
      <c r="Z157" s="1077"/>
      <c r="AA157" s="1549"/>
      <c r="AB157" s="500"/>
      <c r="AC157" s="500"/>
      <c r="AD157" s="500"/>
      <c r="AE157" s="500"/>
      <c r="AF157" s="1558">
        <v>11</v>
      </c>
    </row>
    <row r="158" spans="1:32" s="2212" customFormat="1" ht="11.5" customHeight="1">
      <c r="A158" s="909"/>
      <c r="B158" s="1553"/>
      <c r="C158" s="1553"/>
      <c r="D158" s="285"/>
      <c r="K158" s="1077"/>
      <c r="L158" s="1553"/>
      <c r="M158" s="1553"/>
      <c r="N158" s="1077"/>
      <c r="O158" s="1077"/>
      <c r="P158" s="1077"/>
      <c r="Q158" s="1077"/>
      <c r="R158" s="1553"/>
      <c r="S158" s="1077"/>
      <c r="T158" s="1077"/>
      <c r="U158" s="478"/>
      <c r="V158" s="1077"/>
      <c r="W158" s="1077"/>
      <c r="X158" s="1077"/>
      <c r="Y158" s="1077"/>
      <c r="Z158" s="1077"/>
      <c r="AA158" s="1549"/>
      <c r="AB158" s="500"/>
      <c r="AC158" s="500"/>
      <c r="AD158" s="500"/>
      <c r="AE158" s="500"/>
      <c r="AF158" s="1558">
        <v>11</v>
      </c>
    </row>
    <row r="159" spans="1:32" s="2212" customFormat="1" ht="11.5" customHeight="1">
      <c r="A159" s="909"/>
      <c r="B159" s="1553"/>
      <c r="C159" s="1553"/>
      <c r="D159" s="285"/>
      <c r="K159" s="1077"/>
      <c r="L159" s="1553"/>
      <c r="M159" s="1553"/>
      <c r="N159" s="1077"/>
      <c r="O159" s="1077"/>
      <c r="P159" s="1077"/>
      <c r="Q159" s="1077"/>
      <c r="R159" s="1553"/>
      <c r="S159" s="1077"/>
      <c r="T159" s="1077"/>
      <c r="U159" s="478"/>
      <c r="V159" s="1077"/>
      <c r="W159" s="1077"/>
      <c r="X159" s="1077"/>
      <c r="Y159" s="1077"/>
      <c r="Z159" s="1077"/>
      <c r="AA159" s="1549"/>
      <c r="AB159" s="500"/>
      <c r="AC159" s="500"/>
      <c r="AD159" s="500"/>
      <c r="AE159" s="500"/>
      <c r="AF159" s="1558">
        <v>11</v>
      </c>
    </row>
    <row r="160" spans="1:32" s="2212" customFormat="1" ht="11.5" customHeight="1">
      <c r="A160" s="909"/>
      <c r="B160" s="1553"/>
      <c r="C160" s="1553"/>
      <c r="D160" s="285"/>
      <c r="K160" s="1077"/>
      <c r="L160" s="1553"/>
      <c r="M160" s="1553"/>
      <c r="N160" s="1077"/>
      <c r="O160" s="1077"/>
      <c r="P160" s="1077"/>
      <c r="Q160" s="1077"/>
      <c r="R160" s="1553"/>
      <c r="S160" s="1077"/>
      <c r="T160" s="1077"/>
      <c r="U160" s="478"/>
      <c r="V160" s="1077"/>
      <c r="W160" s="1077"/>
      <c r="X160" s="1077"/>
      <c r="Y160" s="1077"/>
      <c r="Z160" s="1077"/>
      <c r="AA160" s="1549"/>
      <c r="AB160" s="500"/>
      <c r="AC160" s="500"/>
      <c r="AD160" s="500"/>
      <c r="AE160" s="500"/>
      <c r="AF160" s="1558">
        <v>11</v>
      </c>
    </row>
    <row r="161" spans="1:32" s="2212" customFormat="1" ht="11.5" customHeight="1">
      <c r="A161" s="909"/>
      <c r="B161" s="1553"/>
      <c r="C161" s="1553"/>
      <c r="D161" s="285"/>
      <c r="K161" s="1077"/>
      <c r="L161" s="1553"/>
      <c r="M161" s="1553"/>
      <c r="N161" s="1077"/>
      <c r="O161" s="1077"/>
      <c r="P161" s="1077"/>
      <c r="Q161" s="1077"/>
      <c r="R161" s="1553"/>
      <c r="S161" s="1077"/>
      <c r="T161" s="1077"/>
      <c r="U161" s="478"/>
      <c r="V161" s="1077"/>
      <c r="W161" s="1077"/>
      <c r="X161" s="1077"/>
      <c r="Y161" s="1077"/>
      <c r="Z161" s="1077"/>
      <c r="AA161" s="1549"/>
      <c r="AB161" s="500"/>
      <c r="AC161" s="500"/>
      <c r="AD161" s="500"/>
      <c r="AE161" s="500"/>
      <c r="AF161" s="1558">
        <v>11</v>
      </c>
    </row>
    <row r="162" spans="1:32" s="2212" customFormat="1" ht="11.5" customHeight="1">
      <c r="A162" s="909"/>
      <c r="B162" s="1553"/>
      <c r="C162" s="1553"/>
      <c r="D162" s="285"/>
      <c r="K162" s="1077"/>
      <c r="L162" s="1553"/>
      <c r="M162" s="1553"/>
      <c r="N162" s="1077"/>
      <c r="O162" s="1077"/>
      <c r="P162" s="1077"/>
      <c r="Q162" s="1077"/>
      <c r="R162" s="1553"/>
      <c r="S162" s="1077"/>
      <c r="T162" s="1077"/>
      <c r="U162" s="478"/>
      <c r="V162" s="1077"/>
      <c r="W162" s="1077"/>
      <c r="X162" s="1077"/>
      <c r="Y162" s="1077"/>
      <c r="Z162" s="1077"/>
      <c r="AA162" s="1549"/>
      <c r="AB162" s="500"/>
      <c r="AC162" s="500"/>
      <c r="AD162" s="500"/>
      <c r="AE162" s="500"/>
      <c r="AF162" s="1558">
        <v>11</v>
      </c>
    </row>
    <row r="163" spans="1:32" s="2212" customFormat="1" ht="11.5" customHeight="1">
      <c r="A163" s="909"/>
      <c r="B163" s="1553"/>
      <c r="C163" s="1553"/>
      <c r="D163" s="285"/>
      <c r="K163" s="1077"/>
      <c r="L163" s="1553"/>
      <c r="M163" s="1553"/>
      <c r="N163" s="1077"/>
      <c r="O163" s="1077"/>
      <c r="P163" s="1077"/>
      <c r="Q163" s="1077"/>
      <c r="R163" s="1553"/>
      <c r="S163" s="1077"/>
      <c r="T163" s="1077"/>
      <c r="U163" s="478"/>
      <c r="V163" s="1077"/>
      <c r="W163" s="1077"/>
      <c r="X163" s="1077"/>
      <c r="Y163" s="1077"/>
      <c r="Z163" s="1077"/>
      <c r="AA163" s="1549"/>
      <c r="AB163" s="500"/>
      <c r="AC163" s="500"/>
      <c r="AD163" s="500"/>
      <c r="AE163" s="500"/>
      <c r="AF163" s="1558">
        <v>11</v>
      </c>
    </row>
    <row r="164" spans="1:32" s="2212" customFormat="1" ht="11.5" customHeight="1">
      <c r="A164" s="909"/>
      <c r="B164" s="1553"/>
      <c r="C164" s="1553"/>
      <c r="D164" s="285"/>
      <c r="K164" s="1077"/>
      <c r="L164" s="1553"/>
      <c r="M164" s="1553"/>
      <c r="N164" s="1077"/>
      <c r="O164" s="1077"/>
      <c r="P164" s="1077"/>
      <c r="Q164" s="1077"/>
      <c r="R164" s="1553"/>
      <c r="S164" s="1077"/>
      <c r="T164" s="1077"/>
      <c r="U164" s="478"/>
      <c r="V164" s="1077"/>
      <c r="W164" s="1077"/>
      <c r="X164" s="1077"/>
      <c r="Y164" s="1077"/>
      <c r="Z164" s="1077"/>
      <c r="AA164" s="1549"/>
      <c r="AB164" s="500"/>
      <c r="AC164" s="500"/>
      <c r="AD164" s="500"/>
      <c r="AE164" s="500"/>
      <c r="AF164" s="1558">
        <v>11</v>
      </c>
    </row>
    <row r="165" spans="1:32" s="2212" customFormat="1" ht="11.5" customHeight="1">
      <c r="A165" s="909"/>
      <c r="B165" s="1553"/>
      <c r="C165" s="1553"/>
      <c r="D165" s="285"/>
      <c r="K165" s="1077"/>
      <c r="L165" s="1553"/>
      <c r="M165" s="1553"/>
      <c r="N165" s="1077"/>
      <c r="O165" s="1077"/>
      <c r="P165" s="1077"/>
      <c r="Q165" s="1077"/>
      <c r="R165" s="1553"/>
      <c r="S165" s="1077"/>
      <c r="T165" s="1077"/>
      <c r="U165" s="478"/>
      <c r="V165" s="1077"/>
      <c r="W165" s="1077"/>
      <c r="X165" s="1077"/>
      <c r="Y165" s="1077"/>
      <c r="Z165" s="1077"/>
      <c r="AA165" s="1549"/>
      <c r="AB165" s="500"/>
      <c r="AC165" s="500"/>
      <c r="AD165" s="500"/>
      <c r="AE165" s="500"/>
      <c r="AF165" s="1558">
        <v>11</v>
      </c>
    </row>
    <row r="166" spans="1:32" s="2212" customFormat="1" ht="11.5" customHeight="1">
      <c r="A166" s="909"/>
      <c r="B166" s="1553"/>
      <c r="C166" s="1553"/>
      <c r="D166" s="285"/>
      <c r="K166" s="1077"/>
      <c r="L166" s="1553"/>
      <c r="M166" s="1553"/>
      <c r="N166" s="1077"/>
      <c r="O166" s="1077"/>
      <c r="P166" s="1077"/>
      <c r="Q166" s="1077"/>
      <c r="R166" s="1553"/>
      <c r="S166" s="1077"/>
      <c r="T166" s="1077"/>
      <c r="U166" s="478"/>
      <c r="V166" s="1077"/>
      <c r="W166" s="1077"/>
      <c r="X166" s="1077"/>
      <c r="Y166" s="1077"/>
      <c r="Z166" s="1077"/>
      <c r="AA166" s="1549"/>
      <c r="AB166" s="500"/>
      <c r="AC166" s="500"/>
      <c r="AD166" s="500"/>
      <c r="AE166" s="500"/>
      <c r="AF166" s="1558">
        <v>11</v>
      </c>
    </row>
    <row r="167" spans="1:32" s="2212" customFormat="1" ht="11.5" customHeight="1">
      <c r="A167" s="909"/>
      <c r="B167" s="1553"/>
      <c r="C167" s="1553"/>
      <c r="D167" s="285"/>
      <c r="K167" s="1077"/>
      <c r="L167" s="1553"/>
      <c r="M167" s="1553"/>
      <c r="N167" s="1077"/>
      <c r="O167" s="1077"/>
      <c r="P167" s="1077"/>
      <c r="Q167" s="1077"/>
      <c r="R167" s="1553"/>
      <c r="S167" s="1077"/>
      <c r="T167" s="1077"/>
      <c r="U167" s="478"/>
      <c r="V167" s="1077"/>
      <c r="W167" s="1077"/>
      <c r="X167" s="1077"/>
      <c r="Y167" s="1077"/>
      <c r="Z167" s="1077"/>
      <c r="AA167" s="1549"/>
      <c r="AB167" s="500"/>
      <c r="AC167" s="500"/>
      <c r="AD167" s="500"/>
      <c r="AE167" s="500"/>
      <c r="AF167" s="1558">
        <v>11</v>
      </c>
    </row>
    <row r="168" spans="1:32" s="2212" customFormat="1" ht="11.5" customHeight="1">
      <c r="A168" s="909"/>
      <c r="B168" s="1553"/>
      <c r="C168" s="1553"/>
      <c r="D168" s="285"/>
      <c r="K168" s="1077"/>
      <c r="L168" s="1553"/>
      <c r="M168" s="1553"/>
      <c r="N168" s="1077"/>
      <c r="O168" s="1077"/>
      <c r="P168" s="1077"/>
      <c r="Q168" s="1077"/>
      <c r="R168" s="1553"/>
      <c r="S168" s="1077"/>
      <c r="T168" s="1077"/>
      <c r="U168" s="478"/>
      <c r="V168" s="1077"/>
      <c r="W168" s="1077"/>
      <c r="X168" s="1077"/>
      <c r="Y168" s="1077"/>
      <c r="Z168" s="1077"/>
      <c r="AA168" s="1549"/>
      <c r="AB168" s="500"/>
      <c r="AC168" s="500"/>
      <c r="AD168" s="500"/>
      <c r="AE168" s="500"/>
      <c r="AF168" s="1558">
        <v>11</v>
      </c>
    </row>
    <row r="169" spans="1:32" s="2212" customFormat="1" ht="11.5" customHeight="1">
      <c r="A169" s="909"/>
      <c r="B169" s="1553"/>
      <c r="C169" s="1553"/>
      <c r="D169" s="285"/>
      <c r="K169" s="1077"/>
      <c r="L169" s="1553"/>
      <c r="M169" s="1553"/>
      <c r="N169" s="1077"/>
      <c r="O169" s="1077"/>
      <c r="P169" s="1077"/>
      <c r="Q169" s="1077"/>
      <c r="R169" s="1553"/>
      <c r="S169" s="1077"/>
      <c r="T169" s="1077"/>
      <c r="U169" s="478"/>
      <c r="V169" s="1077"/>
      <c r="W169" s="1077"/>
      <c r="X169" s="1077"/>
      <c r="Y169" s="1077"/>
      <c r="Z169" s="1077"/>
      <c r="AA169" s="1549"/>
      <c r="AB169" s="500"/>
      <c r="AC169" s="500"/>
      <c r="AD169" s="500"/>
      <c r="AE169" s="500"/>
      <c r="AF169" s="1558">
        <v>11</v>
      </c>
    </row>
    <row r="170" spans="1:32" s="2212" customFormat="1" ht="11.5" customHeight="1">
      <c r="A170" s="909"/>
      <c r="B170" s="1553"/>
      <c r="C170" s="1553"/>
      <c r="D170" s="285"/>
      <c r="K170" s="1077"/>
      <c r="L170" s="1553"/>
      <c r="M170" s="1553"/>
      <c r="N170" s="1077"/>
      <c r="O170" s="1077"/>
      <c r="P170" s="1077"/>
      <c r="Q170" s="1077"/>
      <c r="R170" s="1553"/>
      <c r="S170" s="1077"/>
      <c r="T170" s="1077"/>
      <c r="U170" s="478"/>
      <c r="V170" s="1077"/>
      <c r="W170" s="1077"/>
      <c r="X170" s="1077"/>
      <c r="Y170" s="1077"/>
      <c r="Z170" s="1077"/>
      <c r="AA170" s="1549"/>
      <c r="AB170" s="500"/>
      <c r="AC170" s="500"/>
      <c r="AD170" s="500"/>
      <c r="AE170" s="500"/>
      <c r="AF170" s="1558">
        <v>11</v>
      </c>
    </row>
    <row r="171" spans="1:32" s="2212" customFormat="1" ht="11.5" customHeight="1">
      <c r="A171" s="909"/>
      <c r="B171" s="1553"/>
      <c r="C171" s="1553"/>
      <c r="D171" s="285"/>
      <c r="K171" s="1077"/>
      <c r="L171" s="1553"/>
      <c r="M171" s="1553"/>
      <c r="N171" s="1077"/>
      <c r="O171" s="1077"/>
      <c r="P171" s="1077"/>
      <c r="Q171" s="1077"/>
      <c r="R171" s="1553"/>
      <c r="S171" s="1077"/>
      <c r="T171" s="1077"/>
      <c r="U171" s="478"/>
      <c r="V171" s="1077"/>
      <c r="W171" s="1077"/>
      <c r="X171" s="1077"/>
      <c r="Y171" s="1077"/>
      <c r="Z171" s="1077"/>
      <c r="AA171" s="1549"/>
      <c r="AB171" s="500"/>
      <c r="AC171" s="500"/>
      <c r="AD171" s="500"/>
      <c r="AE171" s="500"/>
      <c r="AF171" s="1558">
        <v>11</v>
      </c>
    </row>
    <row r="172" spans="1:32" s="2212" customFormat="1" ht="11.5" customHeight="1">
      <c r="A172" s="909"/>
      <c r="B172" s="1553"/>
      <c r="C172" s="1553"/>
      <c r="D172" s="285"/>
      <c r="K172" s="1077"/>
      <c r="L172" s="1553"/>
      <c r="M172" s="1553"/>
      <c r="N172" s="1077"/>
      <c r="O172" s="1077"/>
      <c r="P172" s="1077"/>
      <c r="Q172" s="1077"/>
      <c r="R172" s="1553"/>
      <c r="S172" s="1077"/>
      <c r="T172" s="1077"/>
      <c r="U172" s="478"/>
      <c r="V172" s="1077"/>
      <c r="W172" s="1077"/>
      <c r="X172" s="1077"/>
      <c r="Y172" s="1077"/>
      <c r="Z172" s="1077"/>
      <c r="AA172" s="1549"/>
      <c r="AB172" s="500"/>
      <c r="AC172" s="500"/>
      <c r="AD172" s="500"/>
      <c r="AE172" s="500"/>
      <c r="AF172" s="1558">
        <v>11</v>
      </c>
    </row>
    <row r="173" spans="1:32" s="2212" customFormat="1" ht="11.5" customHeight="1">
      <c r="A173" s="909"/>
      <c r="B173" s="1553"/>
      <c r="C173" s="1553"/>
      <c r="D173" s="285"/>
      <c r="K173" s="1077"/>
      <c r="L173" s="1553"/>
      <c r="M173" s="1553"/>
      <c r="N173" s="1077"/>
      <c r="O173" s="1077"/>
      <c r="P173" s="1077"/>
      <c r="Q173" s="1077"/>
      <c r="R173" s="1553"/>
      <c r="S173" s="1077"/>
      <c r="T173" s="1077"/>
      <c r="U173" s="478"/>
      <c r="V173" s="1077"/>
      <c r="W173" s="1077"/>
      <c r="X173" s="1077"/>
      <c r="Y173" s="1077"/>
      <c r="Z173" s="1077"/>
      <c r="AA173" s="1549"/>
      <c r="AB173" s="500"/>
      <c r="AC173" s="500"/>
      <c r="AD173" s="500"/>
      <c r="AE173" s="500"/>
      <c r="AF173" s="1558">
        <v>11</v>
      </c>
    </row>
    <row r="174" spans="1:32" s="2212" customFormat="1" ht="11.5" customHeight="1">
      <c r="A174" s="909"/>
      <c r="B174" s="1553"/>
      <c r="C174" s="1553"/>
      <c r="D174" s="285"/>
      <c r="K174" s="1077"/>
      <c r="L174" s="1553"/>
      <c r="M174" s="1553"/>
      <c r="N174" s="1077"/>
      <c r="O174" s="1077"/>
      <c r="P174" s="1077"/>
      <c r="Q174" s="1077"/>
      <c r="R174" s="1553"/>
      <c r="S174" s="1077"/>
      <c r="T174" s="1077"/>
      <c r="U174" s="478"/>
      <c r="V174" s="1077"/>
      <c r="W174" s="1077"/>
      <c r="X174" s="1077"/>
      <c r="Y174" s="1077"/>
      <c r="Z174" s="1077"/>
      <c r="AA174" s="1549"/>
      <c r="AB174" s="500"/>
      <c r="AC174" s="500"/>
      <c r="AD174" s="500"/>
      <c r="AE174" s="500"/>
      <c r="AF174" s="1558">
        <v>11</v>
      </c>
    </row>
    <row r="175" spans="1:32" s="2212" customFormat="1" ht="11.5" customHeight="1">
      <c r="A175" s="909"/>
      <c r="B175" s="1553"/>
      <c r="C175" s="1553"/>
      <c r="D175" s="285"/>
      <c r="K175" s="1077"/>
      <c r="L175" s="1553"/>
      <c r="M175" s="1553"/>
      <c r="N175" s="1077"/>
      <c r="O175" s="1077"/>
      <c r="P175" s="1077"/>
      <c r="Q175" s="1077"/>
      <c r="R175" s="1553"/>
      <c r="S175" s="1077"/>
      <c r="T175" s="1077"/>
      <c r="U175" s="478"/>
      <c r="V175" s="1077"/>
      <c r="W175" s="1077"/>
      <c r="X175" s="1077"/>
      <c r="Y175" s="1077"/>
      <c r="Z175" s="1077"/>
      <c r="AA175" s="1549"/>
      <c r="AB175" s="500"/>
      <c r="AC175" s="500"/>
      <c r="AD175" s="500"/>
      <c r="AE175" s="500"/>
      <c r="AF175" s="1558">
        <v>11</v>
      </c>
    </row>
    <row r="176" spans="1:32" s="2212" customFormat="1" ht="11.5" customHeight="1">
      <c r="A176" s="909"/>
      <c r="B176" s="1553"/>
      <c r="C176" s="1553"/>
      <c r="D176" s="285"/>
      <c r="K176" s="1077"/>
      <c r="L176" s="1553"/>
      <c r="M176" s="1553"/>
      <c r="N176" s="1077"/>
      <c r="O176" s="1077"/>
      <c r="P176" s="1077"/>
      <c r="Q176" s="1077"/>
      <c r="R176" s="1553"/>
      <c r="S176" s="1077"/>
      <c r="T176" s="1077"/>
      <c r="U176" s="478"/>
      <c r="V176" s="1077"/>
      <c r="W176" s="1077"/>
      <c r="X176" s="1077"/>
      <c r="Y176" s="1077"/>
      <c r="Z176" s="1077"/>
      <c r="AA176" s="1549"/>
      <c r="AB176" s="500"/>
      <c r="AC176" s="500"/>
      <c r="AD176" s="500"/>
      <c r="AE176" s="500"/>
      <c r="AF176" s="1558">
        <v>11</v>
      </c>
    </row>
    <row r="177" spans="1:32" s="2212" customFormat="1" ht="11.5" customHeight="1">
      <c r="A177" s="909"/>
      <c r="B177" s="1553"/>
      <c r="C177" s="1553"/>
      <c r="D177" s="285"/>
      <c r="K177" s="1077"/>
      <c r="L177" s="1553"/>
      <c r="M177" s="1553"/>
      <c r="N177" s="1077"/>
      <c r="O177" s="1077"/>
      <c r="P177" s="1077"/>
      <c r="Q177" s="1077"/>
      <c r="R177" s="1553"/>
      <c r="S177" s="1077"/>
      <c r="T177" s="1077"/>
      <c r="U177" s="478"/>
      <c r="V177" s="1077"/>
      <c r="W177" s="1077"/>
      <c r="X177" s="1077"/>
      <c r="Y177" s="1077"/>
      <c r="Z177" s="1077"/>
      <c r="AA177" s="1549"/>
      <c r="AB177" s="500"/>
      <c r="AC177" s="500"/>
      <c r="AD177" s="500"/>
      <c r="AE177" s="500"/>
      <c r="AF177" s="1558">
        <v>11</v>
      </c>
    </row>
    <row r="178" spans="1:32" s="2212" customFormat="1" ht="11.5" customHeight="1">
      <c r="A178" s="909"/>
      <c r="B178" s="1553"/>
      <c r="C178" s="1553"/>
      <c r="D178" s="285"/>
      <c r="K178" s="1077"/>
      <c r="L178" s="1553"/>
      <c r="M178" s="1553"/>
      <c r="N178" s="1077"/>
      <c r="O178" s="1077"/>
      <c r="P178" s="1077"/>
      <c r="Q178" s="1077"/>
      <c r="R178" s="1553"/>
      <c r="S178" s="1077"/>
      <c r="T178" s="1077"/>
      <c r="U178" s="478"/>
      <c r="V178" s="1077"/>
      <c r="W178" s="1077"/>
      <c r="X178" s="1077"/>
      <c r="Y178" s="1077"/>
      <c r="Z178" s="1077"/>
      <c r="AA178" s="1549"/>
      <c r="AB178" s="500"/>
      <c r="AC178" s="500"/>
      <c r="AD178" s="500"/>
      <c r="AE178" s="500"/>
      <c r="AF178" s="1558">
        <v>11</v>
      </c>
    </row>
    <row r="179" spans="1:32" s="2212" customFormat="1" ht="11.5" customHeight="1">
      <c r="A179" s="909"/>
      <c r="B179" s="1553"/>
      <c r="C179" s="1553"/>
      <c r="D179" s="285"/>
      <c r="K179" s="1077"/>
      <c r="L179" s="1553"/>
      <c r="M179" s="1553"/>
      <c r="N179" s="1077"/>
      <c r="O179" s="1077"/>
      <c r="P179" s="1077"/>
      <c r="Q179" s="1077"/>
      <c r="R179" s="1553"/>
      <c r="S179" s="1077"/>
      <c r="T179" s="1077"/>
      <c r="U179" s="478"/>
      <c r="V179" s="1077"/>
      <c r="W179" s="1077"/>
      <c r="X179" s="1077"/>
      <c r="Y179" s="1077"/>
      <c r="Z179" s="1077"/>
      <c r="AA179" s="1549"/>
      <c r="AB179" s="500"/>
      <c r="AC179" s="500"/>
      <c r="AD179" s="500"/>
      <c r="AE179" s="500"/>
      <c r="AF179" s="1558">
        <v>11</v>
      </c>
    </row>
    <row r="180" spans="1:32" s="2212" customFormat="1" ht="11.5" customHeight="1">
      <c r="A180" s="909"/>
      <c r="B180" s="1553"/>
      <c r="C180" s="1553"/>
      <c r="D180" s="285"/>
      <c r="K180" s="1077"/>
      <c r="L180" s="1553"/>
      <c r="M180" s="1553"/>
      <c r="N180" s="1077"/>
      <c r="O180" s="1077"/>
      <c r="P180" s="1077"/>
      <c r="Q180" s="1077"/>
      <c r="R180" s="1553"/>
      <c r="S180" s="1077"/>
      <c r="T180" s="1077"/>
      <c r="U180" s="478"/>
      <c r="V180" s="1077"/>
      <c r="W180" s="1077"/>
      <c r="X180" s="1077"/>
      <c r="Y180" s="1077"/>
      <c r="Z180" s="1077"/>
      <c r="AA180" s="1549"/>
      <c r="AB180" s="500"/>
      <c r="AC180" s="500"/>
      <c r="AD180" s="500"/>
      <c r="AE180" s="500"/>
      <c r="AF180" s="1558">
        <v>11</v>
      </c>
    </row>
    <row r="181" spans="1:32" s="2212" customFormat="1" ht="11.5" customHeight="1">
      <c r="A181" s="909"/>
      <c r="B181" s="1553"/>
      <c r="C181" s="1553"/>
      <c r="D181" s="285"/>
      <c r="K181" s="1077"/>
      <c r="L181" s="1553"/>
      <c r="M181" s="1553"/>
      <c r="N181" s="1077"/>
      <c r="O181" s="1077"/>
      <c r="P181" s="1077"/>
      <c r="Q181" s="1077"/>
      <c r="R181" s="1553"/>
      <c r="S181" s="1077"/>
      <c r="T181" s="1077"/>
      <c r="U181" s="478"/>
      <c r="V181" s="1077"/>
      <c r="W181" s="1077"/>
      <c r="X181" s="1077"/>
      <c r="Y181" s="1077"/>
      <c r="Z181" s="1077"/>
      <c r="AA181" s="1549"/>
      <c r="AB181" s="500"/>
      <c r="AC181" s="500"/>
      <c r="AD181" s="500"/>
      <c r="AE181" s="500"/>
      <c r="AF181" s="1558">
        <v>11</v>
      </c>
    </row>
    <row r="182" spans="1:32" s="2212" customFormat="1" ht="11.5" customHeight="1">
      <c r="A182" s="909"/>
      <c r="B182" s="1553"/>
      <c r="C182" s="1553"/>
      <c r="D182" s="285"/>
      <c r="K182" s="1077"/>
      <c r="L182" s="1553"/>
      <c r="M182" s="1553"/>
      <c r="N182" s="1077"/>
      <c r="O182" s="1077"/>
      <c r="P182" s="1077"/>
      <c r="Q182" s="1077"/>
      <c r="R182" s="1553"/>
      <c r="S182" s="1077"/>
      <c r="T182" s="1077"/>
      <c r="U182" s="478"/>
      <c r="V182" s="1077"/>
      <c r="W182" s="1077"/>
      <c r="X182" s="1077"/>
      <c r="Y182" s="1077"/>
      <c r="Z182" s="1077"/>
      <c r="AA182" s="1549"/>
      <c r="AB182" s="500"/>
      <c r="AC182" s="500"/>
      <c r="AD182" s="500"/>
      <c r="AE182" s="500"/>
      <c r="AF182" s="1558">
        <v>11</v>
      </c>
    </row>
    <row r="183" spans="1:32" s="2212" customFormat="1" ht="11.5" customHeight="1">
      <c r="A183" s="909"/>
      <c r="B183" s="1553"/>
      <c r="C183" s="1553"/>
      <c r="D183" s="285"/>
      <c r="K183" s="1077"/>
      <c r="L183" s="1553"/>
      <c r="M183" s="1553"/>
      <c r="N183" s="1077"/>
      <c r="O183" s="1077"/>
      <c r="P183" s="1077"/>
      <c r="Q183" s="1077"/>
      <c r="R183" s="1553"/>
      <c r="S183" s="1077"/>
      <c r="T183" s="1077"/>
      <c r="U183" s="478"/>
      <c r="V183" s="1077"/>
      <c r="W183" s="1077"/>
      <c r="X183" s="1077"/>
      <c r="Y183" s="1077"/>
      <c r="Z183" s="1077"/>
      <c r="AA183" s="1549"/>
      <c r="AB183" s="500"/>
      <c r="AC183" s="500"/>
      <c r="AD183" s="500"/>
      <c r="AE183" s="500"/>
      <c r="AF183" s="1558">
        <v>11</v>
      </c>
    </row>
    <row r="184" spans="1:32" s="2212" customFormat="1" ht="11.5" customHeight="1">
      <c r="A184" s="909"/>
      <c r="B184" s="1553"/>
      <c r="C184" s="1553"/>
      <c r="D184" s="285"/>
      <c r="K184" s="1077"/>
      <c r="L184" s="1553"/>
      <c r="M184" s="1553"/>
      <c r="N184" s="1077"/>
      <c r="O184" s="1077"/>
      <c r="P184" s="1077"/>
      <c r="Q184" s="1077"/>
      <c r="R184" s="1553"/>
      <c r="S184" s="1077"/>
      <c r="T184" s="1077"/>
      <c r="U184" s="478"/>
      <c r="V184" s="1077"/>
      <c r="W184" s="1077"/>
      <c r="X184" s="1077"/>
      <c r="Y184" s="1077"/>
      <c r="Z184" s="1077"/>
      <c r="AA184" s="1549"/>
      <c r="AB184" s="500"/>
      <c r="AC184" s="500"/>
      <c r="AD184" s="500"/>
      <c r="AE184" s="500"/>
      <c r="AF184" s="1558">
        <v>11</v>
      </c>
    </row>
    <row r="185" spans="1:32" s="2212" customFormat="1" ht="11.5" customHeight="1">
      <c r="A185" s="909"/>
      <c r="B185" s="1553"/>
      <c r="C185" s="1553"/>
      <c r="D185" s="285"/>
      <c r="K185" s="1077"/>
      <c r="L185" s="1553"/>
      <c r="M185" s="1553"/>
      <c r="N185" s="1077"/>
      <c r="O185" s="1077"/>
      <c r="P185" s="1077"/>
      <c r="Q185" s="1077"/>
      <c r="R185" s="1553"/>
      <c r="S185" s="1077"/>
      <c r="T185" s="1077"/>
      <c r="U185" s="478"/>
      <c r="V185" s="1077"/>
      <c r="W185" s="1077"/>
      <c r="X185" s="1077"/>
      <c r="Y185" s="1077"/>
      <c r="Z185" s="1077"/>
      <c r="AA185" s="1549"/>
      <c r="AB185" s="500"/>
      <c r="AC185" s="500"/>
      <c r="AD185" s="500"/>
      <c r="AE185" s="500"/>
      <c r="AF185" s="1558">
        <v>11</v>
      </c>
    </row>
    <row r="186" spans="1:32" s="2212" customFormat="1" ht="11.5" customHeight="1">
      <c r="A186" s="909"/>
      <c r="B186" s="1553"/>
      <c r="C186" s="1553"/>
      <c r="D186" s="285"/>
      <c r="K186" s="1077"/>
      <c r="L186" s="1553"/>
      <c r="M186" s="1553"/>
      <c r="N186" s="1077"/>
      <c r="O186" s="1077"/>
      <c r="P186" s="1077"/>
      <c r="Q186" s="1077"/>
      <c r="R186" s="1553"/>
      <c r="S186" s="1077"/>
      <c r="T186" s="1077"/>
      <c r="U186" s="478"/>
      <c r="V186" s="1077"/>
      <c r="W186" s="1077"/>
      <c r="X186" s="1077"/>
      <c r="Y186" s="1077"/>
      <c r="Z186" s="1077"/>
      <c r="AA186" s="1549"/>
      <c r="AB186" s="500"/>
      <c r="AC186" s="500"/>
      <c r="AD186" s="500"/>
      <c r="AE186" s="500"/>
      <c r="AF186" s="1558">
        <v>11</v>
      </c>
    </row>
    <row r="187" spans="1:32" s="2212" customFormat="1" ht="11.5" customHeight="1">
      <c r="A187" s="909"/>
      <c r="B187" s="1553"/>
      <c r="C187" s="1553"/>
      <c r="D187" s="285"/>
      <c r="K187" s="1077"/>
      <c r="L187" s="1553"/>
      <c r="M187" s="1553"/>
      <c r="N187" s="1077"/>
      <c r="O187" s="1077"/>
      <c r="P187" s="1077"/>
      <c r="Q187" s="1077"/>
      <c r="R187" s="1553"/>
      <c r="S187" s="1077"/>
      <c r="T187" s="1077"/>
      <c r="U187" s="478"/>
      <c r="V187" s="1077"/>
      <c r="W187" s="1077"/>
      <c r="X187" s="1077"/>
      <c r="Y187" s="1077"/>
      <c r="Z187" s="1077"/>
      <c r="AA187" s="1549"/>
      <c r="AB187" s="500"/>
      <c r="AC187" s="500"/>
      <c r="AD187" s="500"/>
      <c r="AE187" s="500"/>
      <c r="AF187" s="1558">
        <v>11</v>
      </c>
    </row>
    <row r="188" spans="1:32" s="2212" customFormat="1" ht="11.5" customHeight="1">
      <c r="A188" s="909"/>
      <c r="B188" s="1553"/>
      <c r="C188" s="1553"/>
      <c r="D188" s="285"/>
      <c r="K188" s="1077"/>
      <c r="L188" s="1553"/>
      <c r="M188" s="1553"/>
      <c r="N188" s="1077"/>
      <c r="O188" s="1077"/>
      <c r="P188" s="1077"/>
      <c r="Q188" s="1077"/>
      <c r="R188" s="1553"/>
      <c r="S188" s="1077"/>
      <c r="T188" s="1077"/>
      <c r="U188" s="478"/>
      <c r="V188" s="1077"/>
      <c r="W188" s="1077"/>
      <c r="X188" s="1077"/>
      <c r="Y188" s="1077"/>
      <c r="Z188" s="1077"/>
      <c r="AA188" s="1549"/>
      <c r="AB188" s="500"/>
      <c r="AC188" s="500"/>
      <c r="AD188" s="500"/>
      <c r="AE188" s="500"/>
      <c r="AF188" s="1558">
        <v>11</v>
      </c>
    </row>
    <row r="189" spans="1:32" s="2212" customFormat="1" ht="11.5" customHeight="1">
      <c r="A189" s="909"/>
      <c r="B189" s="1553"/>
      <c r="C189" s="1553"/>
      <c r="D189" s="285"/>
      <c r="K189" s="1077"/>
      <c r="L189" s="1553"/>
      <c r="M189" s="1553"/>
      <c r="N189" s="1077"/>
      <c r="O189" s="1077"/>
      <c r="P189" s="1077"/>
      <c r="Q189" s="1077"/>
      <c r="R189" s="1553"/>
      <c r="S189" s="1077"/>
      <c r="T189" s="1077"/>
      <c r="U189" s="478"/>
      <c r="V189" s="1077"/>
      <c r="W189" s="1077"/>
      <c r="X189" s="1077"/>
      <c r="Y189" s="1077"/>
      <c r="Z189" s="1077"/>
      <c r="AA189" s="1549"/>
      <c r="AB189" s="500"/>
      <c r="AC189" s="500"/>
      <c r="AD189" s="500"/>
      <c r="AE189" s="500"/>
      <c r="AF189" s="1558">
        <v>11</v>
      </c>
    </row>
    <row r="190" spans="1:32" s="2212" customFormat="1" ht="11.5" customHeight="1">
      <c r="A190" s="909"/>
      <c r="B190" s="1553"/>
      <c r="C190" s="1553"/>
      <c r="D190" s="285"/>
      <c r="K190" s="1077"/>
      <c r="L190" s="1553"/>
      <c r="M190" s="1553"/>
      <c r="N190" s="1077"/>
      <c r="O190" s="1077"/>
      <c r="P190" s="1077"/>
      <c r="Q190" s="1077"/>
      <c r="R190" s="1553"/>
      <c r="S190" s="1077"/>
      <c r="T190" s="1077"/>
      <c r="U190" s="478"/>
      <c r="V190" s="1077"/>
      <c r="W190" s="1077"/>
      <c r="X190" s="1077"/>
      <c r="Y190" s="1077"/>
      <c r="Z190" s="1077"/>
      <c r="AA190" s="1549"/>
      <c r="AB190" s="500"/>
      <c r="AC190" s="500"/>
      <c r="AD190" s="500"/>
      <c r="AE190" s="500"/>
      <c r="AF190" s="1558">
        <v>11</v>
      </c>
    </row>
    <row r="191" spans="1:32" s="2212" customFormat="1" ht="11.5" customHeight="1">
      <c r="A191" s="909"/>
      <c r="B191" s="1553"/>
      <c r="C191" s="1553"/>
      <c r="D191" s="285"/>
      <c r="K191" s="1077"/>
      <c r="L191" s="1553"/>
      <c r="M191" s="1553"/>
      <c r="N191" s="1077"/>
      <c r="O191" s="1077"/>
      <c r="P191" s="1077"/>
      <c r="Q191" s="1077"/>
      <c r="R191" s="1553"/>
      <c r="S191" s="1077"/>
      <c r="T191" s="1077"/>
      <c r="U191" s="478"/>
      <c r="V191" s="1077"/>
      <c r="W191" s="1077"/>
      <c r="X191" s="1077"/>
      <c r="Y191" s="1077"/>
      <c r="Z191" s="1077"/>
      <c r="AA191" s="1549"/>
      <c r="AB191" s="500"/>
      <c r="AC191" s="500"/>
      <c r="AD191" s="500"/>
      <c r="AE191" s="500"/>
      <c r="AF191" s="1558">
        <v>11</v>
      </c>
    </row>
    <row r="192" spans="1:32" s="2212" customFormat="1" ht="11.5" customHeight="1">
      <c r="A192" s="909"/>
      <c r="B192" s="1553"/>
      <c r="C192" s="1553"/>
      <c r="D192" s="285"/>
      <c r="K192" s="1077"/>
      <c r="L192" s="1553"/>
      <c r="M192" s="1553"/>
      <c r="N192" s="1077"/>
      <c r="O192" s="1077"/>
      <c r="P192" s="1077"/>
      <c r="Q192" s="1077"/>
      <c r="R192" s="1553"/>
      <c r="S192" s="1077"/>
      <c r="T192" s="1077"/>
      <c r="U192" s="478"/>
      <c r="V192" s="1077"/>
      <c r="W192" s="1077"/>
      <c r="X192" s="1077"/>
      <c r="Y192" s="1077"/>
      <c r="Z192" s="1077"/>
      <c r="AA192" s="1549"/>
      <c r="AB192" s="500"/>
      <c r="AC192" s="500"/>
      <c r="AD192" s="500"/>
      <c r="AE192" s="500"/>
      <c r="AF192" s="1558">
        <v>11</v>
      </c>
    </row>
    <row r="193" spans="1:32" s="2212" customFormat="1" ht="11.5" customHeight="1">
      <c r="A193" s="909"/>
      <c r="B193" s="1553"/>
      <c r="C193" s="1553"/>
      <c r="D193" s="285"/>
      <c r="K193" s="1077"/>
      <c r="L193" s="1553"/>
      <c r="M193" s="1553"/>
      <c r="N193" s="1077"/>
      <c r="O193" s="1077"/>
      <c r="P193" s="1077"/>
      <c r="Q193" s="1077"/>
      <c r="R193" s="1553"/>
      <c r="S193" s="1077"/>
      <c r="T193" s="1077"/>
      <c r="U193" s="478"/>
      <c r="V193" s="1077"/>
      <c r="W193" s="1077"/>
      <c r="X193" s="1077"/>
      <c r="Y193" s="1077"/>
      <c r="Z193" s="1077"/>
      <c r="AA193" s="1549"/>
      <c r="AB193" s="500"/>
      <c r="AC193" s="500"/>
      <c r="AD193" s="500"/>
      <c r="AE193" s="500"/>
      <c r="AF193" s="1558">
        <v>11</v>
      </c>
    </row>
    <row r="194" spans="1:32" s="2212" customFormat="1" ht="11.5" customHeight="1">
      <c r="A194" s="909"/>
      <c r="B194" s="1553"/>
      <c r="C194" s="1553"/>
      <c r="D194" s="285"/>
      <c r="K194" s="1077"/>
      <c r="L194" s="1553"/>
      <c r="M194" s="1553"/>
      <c r="N194" s="1077"/>
      <c r="O194" s="1077"/>
      <c r="P194" s="1077"/>
      <c r="Q194" s="1077"/>
      <c r="R194" s="1553"/>
      <c r="S194" s="1077"/>
      <c r="T194" s="1077"/>
      <c r="U194" s="478"/>
      <c r="V194" s="1077"/>
      <c r="W194" s="1077"/>
      <c r="X194" s="1077"/>
      <c r="Y194" s="1077"/>
      <c r="Z194" s="1077"/>
      <c r="AA194" s="1549"/>
      <c r="AB194" s="500"/>
      <c r="AC194" s="500"/>
      <c r="AD194" s="500"/>
      <c r="AE194" s="500"/>
      <c r="AF194" s="1558">
        <v>11</v>
      </c>
    </row>
    <row r="195" spans="1:32" s="2212" customFormat="1" ht="11.5" customHeight="1">
      <c r="A195" s="909"/>
      <c r="B195" s="1553"/>
      <c r="C195" s="1553"/>
      <c r="D195" s="285"/>
      <c r="K195" s="1077"/>
      <c r="L195" s="1553"/>
      <c r="M195" s="1553"/>
      <c r="N195" s="1077"/>
      <c r="O195" s="1077"/>
      <c r="P195" s="1077"/>
      <c r="Q195" s="1077"/>
      <c r="R195" s="1553"/>
      <c r="S195" s="1077"/>
      <c r="T195" s="1077"/>
      <c r="U195" s="478"/>
      <c r="V195" s="1077"/>
      <c r="W195" s="1077"/>
      <c r="X195" s="1077"/>
      <c r="Y195" s="1077"/>
      <c r="Z195" s="1077"/>
      <c r="AA195" s="1549"/>
      <c r="AB195" s="500"/>
      <c r="AC195" s="500"/>
      <c r="AD195" s="500"/>
      <c r="AE195" s="500"/>
      <c r="AF195" s="1558">
        <v>11</v>
      </c>
    </row>
    <row r="196" spans="1:32" s="2212" customFormat="1" ht="11.5" customHeight="1">
      <c r="A196" s="909"/>
      <c r="B196" s="1553"/>
      <c r="C196" s="1553"/>
      <c r="D196" s="285"/>
      <c r="K196" s="1077"/>
      <c r="L196" s="1553"/>
      <c r="M196" s="1553"/>
      <c r="N196" s="1077"/>
      <c r="O196" s="1077"/>
      <c r="P196" s="1077"/>
      <c r="Q196" s="1077"/>
      <c r="R196" s="1553"/>
      <c r="S196" s="1077"/>
      <c r="T196" s="1077"/>
      <c r="U196" s="478"/>
      <c r="V196" s="1077"/>
      <c r="W196" s="1077"/>
      <c r="X196" s="1077"/>
      <c r="Y196" s="1077"/>
      <c r="Z196" s="1077"/>
      <c r="AA196" s="1549"/>
      <c r="AB196" s="500"/>
      <c r="AC196" s="500"/>
      <c r="AD196" s="500"/>
      <c r="AE196" s="500"/>
      <c r="AF196" s="1558">
        <v>11</v>
      </c>
    </row>
    <row r="197" spans="1:32" s="2212" customFormat="1" ht="11.5" customHeight="1">
      <c r="A197" s="909"/>
      <c r="B197" s="1553"/>
      <c r="C197" s="1553"/>
      <c r="D197" s="285"/>
      <c r="K197" s="1077"/>
      <c r="L197" s="1553"/>
      <c r="M197" s="1553"/>
      <c r="N197" s="1077"/>
      <c r="O197" s="1077"/>
      <c r="P197" s="1077"/>
      <c r="Q197" s="1077"/>
      <c r="R197" s="1553"/>
      <c r="S197" s="1077"/>
      <c r="T197" s="1077"/>
      <c r="U197" s="478"/>
      <c r="V197" s="1077"/>
      <c r="W197" s="1077"/>
      <c r="X197" s="1077"/>
      <c r="Y197" s="1077"/>
      <c r="Z197" s="1077"/>
      <c r="AA197" s="1549"/>
      <c r="AB197" s="500"/>
      <c r="AC197" s="500"/>
      <c r="AD197" s="500"/>
      <c r="AE197" s="500"/>
      <c r="AF197" s="1558">
        <v>11</v>
      </c>
    </row>
    <row r="198" spans="1:32" s="2212" customFormat="1" ht="11.5" customHeight="1">
      <c r="A198" s="909"/>
      <c r="B198" s="1553"/>
      <c r="C198" s="1553"/>
      <c r="D198" s="285"/>
      <c r="K198" s="1077"/>
      <c r="L198" s="1553"/>
      <c r="M198" s="1553"/>
      <c r="N198" s="1077"/>
      <c r="O198" s="1077"/>
      <c r="P198" s="1077"/>
      <c r="Q198" s="1077"/>
      <c r="R198" s="1553"/>
      <c r="S198" s="1077"/>
      <c r="T198" s="1077"/>
      <c r="U198" s="478"/>
      <c r="V198" s="1077"/>
      <c r="W198" s="1077"/>
      <c r="X198" s="1077"/>
      <c r="Y198" s="1077"/>
      <c r="Z198" s="1077"/>
      <c r="AA198" s="1549"/>
      <c r="AB198" s="500"/>
      <c r="AC198" s="500"/>
      <c r="AD198" s="500"/>
      <c r="AE198" s="500"/>
      <c r="AF198" s="1558">
        <v>11</v>
      </c>
    </row>
    <row r="199" spans="1:32" s="2212" customFormat="1" ht="11.5" customHeight="1">
      <c r="A199" s="909"/>
      <c r="B199" s="1553"/>
      <c r="C199" s="1553"/>
      <c r="D199" s="285"/>
      <c r="K199" s="1077"/>
      <c r="L199" s="1553"/>
      <c r="M199" s="1553"/>
      <c r="N199" s="1077"/>
      <c r="O199" s="1077"/>
      <c r="P199" s="1077"/>
      <c r="Q199" s="1077"/>
      <c r="R199" s="1553"/>
      <c r="S199" s="1077"/>
      <c r="T199" s="1077"/>
      <c r="U199" s="478"/>
      <c r="V199" s="1077"/>
      <c r="W199" s="1077"/>
      <c r="X199" s="1077"/>
      <c r="Y199" s="1077"/>
      <c r="Z199" s="1077"/>
      <c r="AA199" s="1549"/>
      <c r="AB199" s="500"/>
      <c r="AC199" s="500"/>
      <c r="AD199" s="500"/>
      <c r="AE199" s="500"/>
      <c r="AF199" s="1558">
        <v>11</v>
      </c>
    </row>
    <row r="200" spans="1:32" s="2212" customFormat="1" ht="11.5" customHeight="1">
      <c r="A200" s="909"/>
      <c r="B200" s="1553"/>
      <c r="C200" s="1553"/>
      <c r="D200" s="285"/>
      <c r="K200" s="1077"/>
      <c r="L200" s="1553"/>
      <c r="M200" s="1553"/>
      <c r="N200" s="1077"/>
      <c r="O200" s="1077"/>
      <c r="P200" s="1077"/>
      <c r="Q200" s="1077"/>
      <c r="R200" s="1553"/>
      <c r="S200" s="1077"/>
      <c r="T200" s="1077"/>
      <c r="U200" s="478"/>
      <c r="V200" s="1077"/>
      <c r="W200" s="1077"/>
      <c r="X200" s="1077"/>
      <c r="Y200" s="1077"/>
      <c r="Z200" s="1077"/>
      <c r="AA200" s="1549"/>
      <c r="AB200" s="500"/>
      <c r="AC200" s="500"/>
      <c r="AD200" s="500"/>
      <c r="AE200" s="500"/>
      <c r="AF200" s="1558">
        <v>11</v>
      </c>
    </row>
    <row r="201" spans="1:32" s="2212" customFormat="1" ht="11.5" customHeight="1">
      <c r="A201" s="909"/>
      <c r="B201" s="1553"/>
      <c r="C201" s="1553"/>
      <c r="D201" s="285"/>
      <c r="K201" s="1077"/>
      <c r="L201" s="1553"/>
      <c r="M201" s="1553"/>
      <c r="N201" s="1077"/>
      <c r="O201" s="1077"/>
      <c r="P201" s="1077"/>
      <c r="Q201" s="1077"/>
      <c r="R201" s="1553"/>
      <c r="S201" s="1077"/>
      <c r="T201" s="1077"/>
      <c r="U201" s="478"/>
      <c r="V201" s="1077"/>
      <c r="W201" s="1077"/>
      <c r="X201" s="1077"/>
      <c r="Y201" s="1077"/>
      <c r="Z201" s="1077"/>
      <c r="AA201" s="1549"/>
      <c r="AB201" s="500"/>
      <c r="AC201" s="500"/>
      <c r="AD201" s="500"/>
      <c r="AE201" s="500"/>
      <c r="AF201" s="1558">
        <v>11</v>
      </c>
    </row>
    <row r="202" spans="1:32" s="2212" customFormat="1" ht="11.5" customHeight="1">
      <c r="A202" s="909"/>
      <c r="B202" s="1553"/>
      <c r="C202" s="1553"/>
      <c r="D202" s="285"/>
      <c r="K202" s="1077"/>
      <c r="L202" s="1553"/>
      <c r="M202" s="1553"/>
      <c r="N202" s="1077"/>
      <c r="O202" s="1077"/>
      <c r="P202" s="1077"/>
      <c r="Q202" s="1077"/>
      <c r="R202" s="1553"/>
      <c r="S202" s="1077"/>
      <c r="T202" s="1077"/>
      <c r="U202" s="478"/>
      <c r="V202" s="1077"/>
      <c r="W202" s="1077"/>
      <c r="X202" s="1077"/>
      <c r="Y202" s="1077"/>
      <c r="Z202" s="1077"/>
      <c r="AA202" s="1549"/>
      <c r="AB202" s="500"/>
      <c r="AC202" s="500"/>
      <c r="AD202" s="500"/>
      <c r="AE202" s="500"/>
      <c r="AF202" s="1558">
        <v>11</v>
      </c>
    </row>
    <row r="203" spans="1:32" s="2212" customFormat="1" ht="11.5" customHeight="1">
      <c r="A203" s="909"/>
      <c r="B203" s="1553"/>
      <c r="C203" s="1553"/>
      <c r="D203" s="285"/>
      <c r="K203" s="1077"/>
      <c r="L203" s="1553"/>
      <c r="M203" s="1553"/>
      <c r="N203" s="1077"/>
      <c r="O203" s="1077"/>
      <c r="P203" s="1077"/>
      <c r="Q203" s="1077"/>
      <c r="R203" s="1553"/>
      <c r="S203" s="1077"/>
      <c r="T203" s="1077"/>
      <c r="U203" s="478"/>
      <c r="V203" s="1077"/>
      <c r="W203" s="1077"/>
      <c r="X203" s="1077"/>
      <c r="Y203" s="1077"/>
      <c r="Z203" s="1077"/>
      <c r="AA203" s="1549"/>
      <c r="AB203" s="500"/>
      <c r="AC203" s="500"/>
      <c r="AD203" s="500"/>
      <c r="AE203" s="500"/>
      <c r="AF203" s="1558">
        <v>11</v>
      </c>
    </row>
    <row r="204" spans="1:32" s="2212" customFormat="1" ht="11.5" customHeight="1">
      <c r="A204" s="909"/>
      <c r="B204" s="1553"/>
      <c r="C204" s="1553"/>
      <c r="D204" s="285"/>
      <c r="K204" s="1077"/>
      <c r="L204" s="1553"/>
      <c r="M204" s="1553"/>
      <c r="N204" s="1077"/>
      <c r="O204" s="1077"/>
      <c r="P204" s="1077"/>
      <c r="Q204" s="1077"/>
      <c r="R204" s="1553"/>
      <c r="S204" s="1077"/>
      <c r="T204" s="1077"/>
      <c r="U204" s="478"/>
      <c r="V204" s="1077"/>
      <c r="W204" s="1077"/>
      <c r="X204" s="1077"/>
      <c r="Y204" s="1077"/>
      <c r="Z204" s="1077"/>
      <c r="AA204" s="1549"/>
      <c r="AB204" s="500"/>
      <c r="AC204" s="500"/>
      <c r="AD204" s="500"/>
      <c r="AE204" s="500"/>
      <c r="AF204" s="1558">
        <v>11</v>
      </c>
    </row>
    <row r="205" spans="1:32" s="2212" customFormat="1" ht="11.5" customHeight="1">
      <c r="A205" s="909"/>
      <c r="B205" s="1553"/>
      <c r="C205" s="1553"/>
      <c r="D205" s="285"/>
      <c r="K205" s="1077"/>
      <c r="L205" s="1553"/>
      <c r="M205" s="1553"/>
      <c r="N205" s="1077"/>
      <c r="O205" s="1077"/>
      <c r="P205" s="1077"/>
      <c r="Q205" s="1077"/>
      <c r="R205" s="1553"/>
      <c r="S205" s="1077"/>
      <c r="T205" s="1077"/>
      <c r="U205" s="478"/>
      <c r="V205" s="1077"/>
      <c r="W205" s="1077"/>
      <c r="X205" s="1077"/>
      <c r="Y205" s="1077"/>
      <c r="Z205" s="1077"/>
      <c r="AA205" s="1549"/>
      <c r="AB205" s="500"/>
      <c r="AC205" s="500"/>
      <c r="AD205" s="500"/>
      <c r="AE205" s="500"/>
      <c r="AF205" s="1558">
        <v>11</v>
      </c>
    </row>
    <row r="206" spans="1:32" s="2212" customFormat="1" ht="11.5" customHeight="1">
      <c r="A206" s="909"/>
      <c r="B206" s="1553"/>
      <c r="C206" s="1553"/>
      <c r="D206" s="285"/>
      <c r="K206" s="1077"/>
      <c r="L206" s="1553"/>
      <c r="M206" s="1553"/>
      <c r="N206" s="1077"/>
      <c r="O206" s="1077"/>
      <c r="P206" s="1077"/>
      <c r="Q206" s="1077"/>
      <c r="R206" s="1553"/>
      <c r="S206" s="1077"/>
      <c r="T206" s="1077"/>
      <c r="U206" s="478"/>
      <c r="V206" s="1077"/>
      <c r="W206" s="1077"/>
      <c r="X206" s="1077"/>
      <c r="Y206" s="1077"/>
      <c r="Z206" s="1077"/>
      <c r="AA206" s="1549"/>
      <c r="AB206" s="500"/>
      <c r="AC206" s="500"/>
      <c r="AD206" s="500"/>
      <c r="AE206" s="500"/>
      <c r="AF206" s="1558">
        <v>11</v>
      </c>
    </row>
    <row r="207" spans="1:32" s="2212" customFormat="1" ht="11.5" customHeight="1">
      <c r="A207" s="909"/>
      <c r="B207" s="1553"/>
      <c r="C207" s="1553"/>
      <c r="D207" s="285"/>
      <c r="K207" s="1077"/>
      <c r="L207" s="1553"/>
      <c r="M207" s="1553"/>
      <c r="N207" s="1077"/>
      <c r="O207" s="1077"/>
      <c r="P207" s="1077"/>
      <c r="Q207" s="1077"/>
      <c r="R207" s="1553"/>
      <c r="S207" s="1077"/>
      <c r="T207" s="1077"/>
      <c r="U207" s="478"/>
      <c r="V207" s="1077"/>
      <c r="W207" s="1077"/>
      <c r="X207" s="1077"/>
      <c r="Y207" s="1077"/>
      <c r="Z207" s="1077"/>
      <c r="AA207" s="1549"/>
      <c r="AB207" s="500"/>
      <c r="AC207" s="500"/>
      <c r="AD207" s="500"/>
      <c r="AE207" s="500"/>
      <c r="AF207" s="1558">
        <v>11</v>
      </c>
    </row>
    <row r="208" spans="1:32" s="2212" customFormat="1" ht="11.5" customHeight="1">
      <c r="A208" s="909"/>
      <c r="B208" s="1553"/>
      <c r="C208" s="1553"/>
      <c r="D208" s="285"/>
      <c r="K208" s="1077"/>
      <c r="L208" s="1553"/>
      <c r="M208" s="1553"/>
      <c r="N208" s="1077"/>
      <c r="O208" s="1077"/>
      <c r="P208" s="1077"/>
      <c r="Q208" s="1077"/>
      <c r="R208" s="1553"/>
      <c r="S208" s="1077"/>
      <c r="T208" s="1077"/>
      <c r="U208" s="478"/>
      <c r="V208" s="1077"/>
      <c r="W208" s="1077"/>
      <c r="X208" s="1077"/>
      <c r="Y208" s="1077"/>
      <c r="Z208" s="1077"/>
      <c r="AA208" s="1549"/>
      <c r="AB208" s="500"/>
      <c r="AC208" s="500"/>
      <c r="AD208" s="500"/>
      <c r="AE208" s="500"/>
      <c r="AF208" s="1558">
        <v>11</v>
      </c>
    </row>
    <row r="209" spans="1:32" s="2212" customFormat="1" ht="11.5" customHeight="1">
      <c r="A209" s="909"/>
      <c r="B209" s="1553"/>
      <c r="C209" s="1553"/>
      <c r="D209" s="285"/>
      <c r="K209" s="1077"/>
      <c r="L209" s="1553"/>
      <c r="M209" s="1553"/>
      <c r="N209" s="1077"/>
      <c r="O209" s="1077"/>
      <c r="P209" s="1077"/>
      <c r="Q209" s="1077"/>
      <c r="R209" s="1553"/>
      <c r="S209" s="1077"/>
      <c r="T209" s="1077"/>
      <c r="U209" s="478"/>
      <c r="V209" s="1077"/>
      <c r="W209" s="1077"/>
      <c r="X209" s="1077"/>
      <c r="Y209" s="1077"/>
      <c r="Z209" s="1077"/>
      <c r="AA209" s="1549"/>
      <c r="AB209" s="500"/>
      <c r="AC209" s="500"/>
      <c r="AD209" s="500"/>
      <c r="AE209" s="500"/>
      <c r="AF209" s="1558">
        <v>11</v>
      </c>
    </row>
    <row r="210" spans="1:32" s="2212" customFormat="1" ht="11.5" customHeight="1">
      <c r="A210" s="909"/>
      <c r="B210" s="1553"/>
      <c r="C210" s="1553"/>
      <c r="D210" s="285"/>
      <c r="K210" s="1077"/>
      <c r="L210" s="1553"/>
      <c r="M210" s="1553"/>
      <c r="N210" s="1077"/>
      <c r="O210" s="1077"/>
      <c r="P210" s="1077"/>
      <c r="Q210" s="1077"/>
      <c r="R210" s="1553"/>
      <c r="S210" s="1077"/>
      <c r="T210" s="1077"/>
      <c r="U210" s="478"/>
      <c r="V210" s="1077"/>
      <c r="W210" s="1077"/>
      <c r="X210" s="1077"/>
      <c r="Y210" s="1077"/>
      <c r="Z210" s="1077"/>
      <c r="AA210" s="1549"/>
      <c r="AB210" s="500"/>
      <c r="AC210" s="500"/>
      <c r="AD210" s="500"/>
      <c r="AE210" s="500"/>
      <c r="AF210" s="1558">
        <v>11</v>
      </c>
    </row>
    <row r="211" spans="1:32" s="2212" customFormat="1" ht="11.5" customHeight="1">
      <c r="A211" s="909"/>
      <c r="B211" s="1553"/>
      <c r="C211" s="1553"/>
      <c r="D211" s="285"/>
      <c r="K211" s="1077"/>
      <c r="L211" s="1553"/>
      <c r="M211" s="1553"/>
      <c r="N211" s="1077"/>
      <c r="O211" s="1077"/>
      <c r="P211" s="1077"/>
      <c r="Q211" s="1077"/>
      <c r="R211" s="1553"/>
      <c r="S211" s="1077"/>
      <c r="T211" s="1077"/>
      <c r="U211" s="478"/>
      <c r="V211" s="1077"/>
      <c r="W211" s="1077"/>
      <c r="X211" s="1077"/>
      <c r="Y211" s="1077"/>
      <c r="Z211" s="1077"/>
      <c r="AA211" s="1549"/>
      <c r="AB211" s="500"/>
      <c r="AC211" s="500"/>
      <c r="AD211" s="500"/>
      <c r="AE211" s="500"/>
      <c r="AF211" s="1558">
        <v>11</v>
      </c>
    </row>
    <row r="212" spans="1:32" s="2212" customFormat="1" ht="11.5" customHeight="1">
      <c r="A212" s="909"/>
      <c r="B212" s="1553"/>
      <c r="C212" s="1553"/>
      <c r="D212" s="285"/>
      <c r="K212" s="1077"/>
      <c r="L212" s="1553"/>
      <c r="M212" s="1553"/>
      <c r="N212" s="1077"/>
      <c r="O212" s="1077"/>
      <c r="P212" s="1077"/>
      <c r="Q212" s="1077"/>
      <c r="R212" s="1553"/>
      <c r="S212" s="1077"/>
      <c r="T212" s="1077"/>
      <c r="U212" s="478"/>
      <c r="V212" s="1077"/>
      <c r="W212" s="1077"/>
      <c r="X212" s="1077"/>
      <c r="Y212" s="1077"/>
      <c r="Z212" s="1077"/>
      <c r="AA212" s="1549"/>
      <c r="AB212" s="500"/>
      <c r="AC212" s="500"/>
      <c r="AD212" s="500"/>
      <c r="AE212" s="500"/>
      <c r="AF212" s="1558">
        <v>11</v>
      </c>
    </row>
    <row r="213" spans="1:32" s="2212" customFormat="1" ht="11.5" customHeight="1">
      <c r="A213" s="909"/>
      <c r="B213" s="1553"/>
      <c r="C213" s="1553"/>
      <c r="D213" s="285"/>
      <c r="K213" s="1077"/>
      <c r="L213" s="1553"/>
      <c r="M213" s="1553"/>
      <c r="N213" s="1077"/>
      <c r="O213" s="1077"/>
      <c r="P213" s="1077"/>
      <c r="Q213" s="1077"/>
      <c r="R213" s="1553"/>
      <c r="S213" s="1077"/>
      <c r="T213" s="1077"/>
      <c r="U213" s="478"/>
      <c r="V213" s="1077"/>
      <c r="W213" s="1077"/>
      <c r="X213" s="1077"/>
      <c r="Y213" s="1077"/>
      <c r="Z213" s="1077"/>
      <c r="AA213" s="1549"/>
      <c r="AB213" s="500"/>
      <c r="AC213" s="500"/>
      <c r="AD213" s="500"/>
      <c r="AE213" s="500"/>
      <c r="AF213" s="1558">
        <v>11</v>
      </c>
    </row>
    <row r="214" spans="1:32" s="2212" customFormat="1" ht="11.5" customHeight="1">
      <c r="A214" s="909"/>
      <c r="B214" s="1553"/>
      <c r="C214" s="1553"/>
      <c r="D214" s="285"/>
      <c r="K214" s="1077"/>
      <c r="L214" s="1553"/>
      <c r="M214" s="1553"/>
      <c r="N214" s="1077"/>
      <c r="O214" s="1077"/>
      <c r="P214" s="1077"/>
      <c r="Q214" s="1077"/>
      <c r="R214" s="1553"/>
      <c r="S214" s="1077"/>
      <c r="T214" s="1077"/>
      <c r="U214" s="478"/>
      <c r="V214" s="1077"/>
      <c r="W214" s="1077"/>
      <c r="X214" s="1077"/>
      <c r="Y214" s="1077"/>
      <c r="Z214" s="1077"/>
      <c r="AA214" s="1549"/>
      <c r="AB214" s="500"/>
      <c r="AC214" s="500"/>
      <c r="AD214" s="500"/>
      <c r="AE214" s="500"/>
      <c r="AF214" s="1558">
        <v>11</v>
      </c>
    </row>
    <row r="215" spans="1:32" s="2212" customFormat="1" ht="11.5" customHeight="1">
      <c r="A215" s="909"/>
      <c r="B215" s="1553"/>
      <c r="C215" s="1553"/>
      <c r="D215" s="285"/>
      <c r="K215" s="1077"/>
      <c r="L215" s="1553"/>
      <c r="M215" s="1553"/>
      <c r="N215" s="1077"/>
      <c r="O215" s="1077"/>
      <c r="P215" s="1077"/>
      <c r="Q215" s="1077"/>
      <c r="R215" s="1553"/>
      <c r="S215" s="1077"/>
      <c r="T215" s="1077"/>
      <c r="U215" s="478"/>
      <c r="V215" s="1077"/>
      <c r="W215" s="1077"/>
      <c r="X215" s="1077"/>
      <c r="Y215" s="1077"/>
      <c r="Z215" s="1077"/>
      <c r="AA215" s="1549"/>
      <c r="AB215" s="500"/>
      <c r="AC215" s="500"/>
      <c r="AD215" s="500"/>
      <c r="AE215" s="500"/>
      <c r="AF215" s="1558">
        <v>11</v>
      </c>
    </row>
    <row r="216" spans="1:32" s="2212" customFormat="1" ht="11.5" customHeight="1">
      <c r="A216" s="909"/>
      <c r="B216" s="1553"/>
      <c r="C216" s="1553"/>
      <c r="D216" s="285"/>
      <c r="K216" s="1077"/>
      <c r="L216" s="1553"/>
      <c r="M216" s="1553"/>
      <c r="N216" s="1077"/>
      <c r="O216" s="1077"/>
      <c r="P216" s="1077"/>
      <c r="Q216" s="1077"/>
      <c r="R216" s="1553"/>
      <c r="S216" s="1077"/>
      <c r="T216" s="1077"/>
      <c r="U216" s="478"/>
      <c r="V216" s="1077"/>
      <c r="W216" s="1077"/>
      <c r="X216" s="1077"/>
      <c r="Y216" s="1077"/>
      <c r="Z216" s="1077"/>
      <c r="AA216" s="1549"/>
      <c r="AB216" s="500"/>
      <c r="AC216" s="500"/>
      <c r="AD216" s="500"/>
      <c r="AE216" s="500"/>
      <c r="AF216" s="1558">
        <v>11</v>
      </c>
    </row>
    <row r="217" spans="1:32" s="2212" customFormat="1" ht="11.5" customHeight="1">
      <c r="A217" s="909"/>
      <c r="B217" s="1553"/>
      <c r="C217" s="1553"/>
      <c r="D217" s="285"/>
      <c r="K217" s="1077"/>
      <c r="L217" s="1553"/>
      <c r="M217" s="1553"/>
      <c r="N217" s="1077"/>
      <c r="O217" s="1077"/>
      <c r="P217" s="1077"/>
      <c r="Q217" s="1077"/>
      <c r="R217" s="1553"/>
      <c r="S217" s="1077"/>
      <c r="T217" s="1077"/>
      <c r="U217" s="478"/>
      <c r="V217" s="1077"/>
      <c r="W217" s="1077"/>
      <c r="X217" s="1077"/>
      <c r="Y217" s="1077"/>
      <c r="Z217" s="1077"/>
      <c r="AA217" s="1549"/>
      <c r="AB217" s="500"/>
      <c r="AC217" s="500"/>
      <c r="AD217" s="500"/>
      <c r="AE217" s="500"/>
      <c r="AF217" s="1558">
        <v>11</v>
      </c>
    </row>
    <row r="218" spans="1:32" s="2212" customFormat="1" ht="11.5" customHeight="1">
      <c r="A218" s="909"/>
      <c r="B218" s="1553"/>
      <c r="C218" s="1553"/>
      <c r="D218" s="285"/>
      <c r="K218" s="1077"/>
      <c r="L218" s="1553"/>
      <c r="M218" s="1553"/>
      <c r="N218" s="1077"/>
      <c r="O218" s="1077"/>
      <c r="P218" s="1077"/>
      <c r="Q218" s="1077"/>
      <c r="R218" s="1553"/>
      <c r="S218" s="1077"/>
      <c r="T218" s="1077"/>
      <c r="U218" s="478"/>
      <c r="V218" s="1077"/>
      <c r="W218" s="1077"/>
      <c r="X218" s="1077"/>
      <c r="Y218" s="1077"/>
      <c r="Z218" s="1077"/>
      <c r="AA218" s="1549"/>
      <c r="AB218" s="500"/>
      <c r="AC218" s="500"/>
      <c r="AD218" s="500"/>
      <c r="AE218" s="500"/>
      <c r="AF218" s="1558">
        <v>11</v>
      </c>
    </row>
    <row r="219" spans="1:32" s="2212" customFormat="1" ht="11.5" customHeight="1">
      <c r="A219" s="909"/>
      <c r="B219" s="1553"/>
      <c r="C219" s="1553"/>
      <c r="D219" s="285"/>
      <c r="K219" s="1077"/>
      <c r="L219" s="1553"/>
      <c r="M219" s="1553"/>
      <c r="N219" s="1077"/>
      <c r="O219" s="1077"/>
      <c r="P219" s="1077"/>
      <c r="Q219" s="1077"/>
      <c r="R219" s="1553"/>
      <c r="S219" s="1077"/>
      <c r="T219" s="1077"/>
      <c r="U219" s="478"/>
      <c r="V219" s="1077"/>
      <c r="W219" s="1077"/>
      <c r="X219" s="1077"/>
      <c r="Y219" s="1077"/>
      <c r="Z219" s="1077"/>
      <c r="AA219" s="1549"/>
      <c r="AB219" s="500"/>
      <c r="AC219" s="500"/>
      <c r="AD219" s="500"/>
      <c r="AE219" s="500"/>
      <c r="AF219" s="1558">
        <v>11</v>
      </c>
    </row>
    <row r="220" spans="1:32" s="2212" customFormat="1" ht="11.5" customHeight="1">
      <c r="A220" s="909"/>
      <c r="B220" s="1553"/>
      <c r="C220" s="1553"/>
      <c r="D220" s="285"/>
      <c r="K220" s="1077"/>
      <c r="L220" s="1553"/>
      <c r="M220" s="1553"/>
      <c r="N220" s="1077"/>
      <c r="O220" s="1077"/>
      <c r="P220" s="1077"/>
      <c r="Q220" s="1077"/>
      <c r="R220" s="1553"/>
      <c r="S220" s="1077"/>
      <c r="T220" s="1077"/>
      <c r="U220" s="478"/>
      <c r="V220" s="1077"/>
      <c r="W220" s="1077"/>
      <c r="X220" s="1077"/>
      <c r="Y220" s="1077"/>
      <c r="Z220" s="1077"/>
      <c r="AA220" s="1549"/>
      <c r="AB220" s="500"/>
      <c r="AC220" s="500"/>
      <c r="AD220" s="500"/>
      <c r="AE220" s="500"/>
      <c r="AF220" s="1558">
        <v>11</v>
      </c>
    </row>
    <row r="221" spans="1:32" s="2212" customFormat="1" ht="11.5" customHeight="1">
      <c r="A221" s="909"/>
      <c r="B221" s="1553"/>
      <c r="C221" s="1553"/>
      <c r="D221" s="285"/>
      <c r="K221" s="1077"/>
      <c r="L221" s="1553"/>
      <c r="M221" s="1553"/>
      <c r="N221" s="1077"/>
      <c r="O221" s="1077"/>
      <c r="P221" s="1077"/>
      <c r="Q221" s="1077"/>
      <c r="R221" s="1553"/>
      <c r="S221" s="1077"/>
      <c r="T221" s="1077"/>
      <c r="U221" s="478"/>
      <c r="V221" s="1077"/>
      <c r="W221" s="1077"/>
      <c r="X221" s="1077"/>
      <c r="Y221" s="1077"/>
      <c r="Z221" s="1077"/>
      <c r="AA221" s="1549"/>
      <c r="AB221" s="500"/>
      <c r="AC221" s="500"/>
      <c r="AD221" s="500"/>
      <c r="AE221" s="500"/>
      <c r="AF221" s="1558">
        <v>11</v>
      </c>
    </row>
    <row r="222" spans="1:32" s="2212" customFormat="1" ht="11.5" customHeight="1">
      <c r="A222" s="909"/>
      <c r="B222" s="1553"/>
      <c r="C222" s="1553"/>
      <c r="D222" s="285"/>
      <c r="K222" s="1077"/>
      <c r="L222" s="1553"/>
      <c r="M222" s="1553"/>
      <c r="N222" s="1077"/>
      <c r="O222" s="1077"/>
      <c r="P222" s="1077"/>
      <c r="Q222" s="1077"/>
      <c r="R222" s="1553"/>
      <c r="S222" s="1077"/>
      <c r="T222" s="1077"/>
      <c r="U222" s="478"/>
      <c r="V222" s="1077"/>
      <c r="W222" s="1077"/>
      <c r="X222" s="1077"/>
      <c r="Y222" s="1077"/>
      <c r="Z222" s="1077"/>
      <c r="AA222" s="1549"/>
      <c r="AB222" s="500"/>
      <c r="AC222" s="500"/>
      <c r="AD222" s="500"/>
      <c r="AE222" s="500"/>
      <c r="AF222" s="1558">
        <v>11</v>
      </c>
    </row>
    <row r="223" spans="1:32" s="2212" customFormat="1" ht="11.5" customHeight="1">
      <c r="A223" s="909"/>
      <c r="B223" s="1553"/>
      <c r="C223" s="1553"/>
      <c r="D223" s="285"/>
      <c r="K223" s="1077"/>
      <c r="L223" s="1553"/>
      <c r="M223" s="1553"/>
      <c r="N223" s="1077"/>
      <c r="O223" s="1077"/>
      <c r="P223" s="1077"/>
      <c r="Q223" s="1077"/>
      <c r="R223" s="1553"/>
      <c r="S223" s="1077"/>
      <c r="T223" s="1077"/>
      <c r="U223" s="478"/>
      <c r="V223" s="1077"/>
      <c r="W223" s="1077"/>
      <c r="X223" s="1077"/>
      <c r="Y223" s="1077"/>
      <c r="Z223" s="1077"/>
      <c r="AA223" s="1549"/>
      <c r="AB223" s="500"/>
      <c r="AC223" s="500"/>
      <c r="AD223" s="500"/>
      <c r="AE223" s="500"/>
      <c r="AF223" s="1558">
        <v>11</v>
      </c>
    </row>
    <row r="224" spans="1:32" s="2212" customFormat="1" ht="11.5" customHeight="1">
      <c r="A224" s="909"/>
      <c r="B224" s="1553"/>
      <c r="C224" s="1553"/>
      <c r="D224" s="285"/>
      <c r="K224" s="1077"/>
      <c r="L224" s="1553"/>
      <c r="M224" s="1553"/>
      <c r="N224" s="1077"/>
      <c r="O224" s="1077"/>
      <c r="P224" s="1077"/>
      <c r="Q224" s="1077"/>
      <c r="R224" s="1553"/>
      <c r="S224" s="1077"/>
      <c r="T224" s="1077"/>
      <c r="U224" s="478"/>
      <c r="V224" s="1077"/>
      <c r="W224" s="1077"/>
      <c r="X224" s="1077"/>
      <c r="Y224" s="1077"/>
      <c r="Z224" s="1077"/>
      <c r="AA224" s="1549"/>
      <c r="AB224" s="500"/>
      <c r="AC224" s="500"/>
      <c r="AD224" s="500"/>
      <c r="AE224" s="500"/>
      <c r="AF224" s="1558">
        <v>11</v>
      </c>
    </row>
    <row r="225" spans="1:32" s="2212" customFormat="1" ht="11.5" customHeight="1">
      <c r="A225" s="909"/>
      <c r="B225" s="1553"/>
      <c r="C225" s="1553"/>
      <c r="D225" s="285"/>
      <c r="K225" s="1077"/>
      <c r="L225" s="1553"/>
      <c r="M225" s="1553"/>
      <c r="N225" s="1077"/>
      <c r="O225" s="1077"/>
      <c r="P225" s="1077"/>
      <c r="Q225" s="1077"/>
      <c r="R225" s="1553"/>
      <c r="S225" s="1077"/>
      <c r="T225" s="1077"/>
      <c r="U225" s="478"/>
      <c r="V225" s="1077"/>
      <c r="W225" s="1077"/>
      <c r="X225" s="1077"/>
      <c r="Y225" s="1077"/>
      <c r="Z225" s="1077"/>
      <c r="AA225" s="1549"/>
      <c r="AB225" s="500"/>
      <c r="AC225" s="500"/>
      <c r="AD225" s="500"/>
      <c r="AE225" s="500"/>
      <c r="AF225" s="1558">
        <v>11</v>
      </c>
    </row>
    <row r="226" spans="1:32" s="2212" customFormat="1" ht="11.5" customHeight="1">
      <c r="A226" s="909"/>
      <c r="B226" s="1553"/>
      <c r="C226" s="1553"/>
      <c r="D226" s="285"/>
      <c r="K226" s="1077"/>
      <c r="L226" s="1553"/>
      <c r="M226" s="1553"/>
      <c r="N226" s="1077"/>
      <c r="O226" s="1077"/>
      <c r="P226" s="1077"/>
      <c r="Q226" s="1077"/>
      <c r="R226" s="1553"/>
      <c r="S226" s="1077"/>
      <c r="T226" s="1077"/>
      <c r="U226" s="478"/>
      <c r="V226" s="1077"/>
      <c r="W226" s="1077"/>
      <c r="X226" s="1077"/>
      <c r="Y226" s="1077"/>
      <c r="Z226" s="1077"/>
      <c r="AA226" s="1549"/>
      <c r="AB226" s="500"/>
      <c r="AC226" s="500"/>
      <c r="AD226" s="500"/>
      <c r="AE226" s="500"/>
      <c r="AF226" s="1558">
        <v>11</v>
      </c>
    </row>
    <row r="227" spans="1:32" s="2212" customFormat="1" ht="11.5" customHeight="1">
      <c r="A227" s="909"/>
      <c r="B227" s="1553"/>
      <c r="C227" s="1553"/>
      <c r="D227" s="285"/>
      <c r="K227" s="1077"/>
      <c r="L227" s="1553"/>
      <c r="M227" s="1553"/>
      <c r="N227" s="1077"/>
      <c r="O227" s="1077"/>
      <c r="P227" s="1077"/>
      <c r="Q227" s="1077"/>
      <c r="R227" s="1553"/>
      <c r="S227" s="1077"/>
      <c r="T227" s="1077"/>
      <c r="U227" s="478"/>
      <c r="V227" s="1077"/>
      <c r="W227" s="1077"/>
      <c r="X227" s="1077"/>
      <c r="Y227" s="1077"/>
      <c r="Z227" s="1077"/>
      <c r="AA227" s="1549"/>
      <c r="AB227" s="500"/>
      <c r="AC227" s="500"/>
      <c r="AD227" s="500"/>
      <c r="AE227" s="500"/>
      <c r="AF227" s="1558">
        <v>11</v>
      </c>
    </row>
    <row r="228" spans="1:32" s="2212" customFormat="1" ht="11.5" customHeight="1">
      <c r="A228" s="909"/>
      <c r="B228" s="1553"/>
      <c r="C228" s="1553"/>
      <c r="D228" s="285"/>
      <c r="K228" s="1077"/>
      <c r="L228" s="1553"/>
      <c r="M228" s="1553"/>
      <c r="N228" s="1077"/>
      <c r="O228" s="1077"/>
      <c r="P228" s="1077"/>
      <c r="Q228" s="1077"/>
      <c r="R228" s="1553"/>
      <c r="S228" s="1077"/>
      <c r="T228" s="1077"/>
      <c r="U228" s="478"/>
      <c r="V228" s="1077"/>
      <c r="W228" s="1077"/>
      <c r="X228" s="1077"/>
      <c r="Y228" s="1077"/>
      <c r="Z228" s="1077"/>
      <c r="AA228" s="1549"/>
      <c r="AB228" s="500"/>
      <c r="AC228" s="500"/>
      <c r="AD228" s="500"/>
      <c r="AE228" s="500"/>
      <c r="AF228" s="1558">
        <v>11</v>
      </c>
    </row>
    <row r="229" spans="1:32" s="2212" customFormat="1" ht="11.5" customHeight="1">
      <c r="A229" s="909"/>
      <c r="B229" s="1553"/>
      <c r="C229" s="1553"/>
      <c r="D229" s="285"/>
      <c r="K229" s="1077"/>
      <c r="L229" s="1553"/>
      <c r="M229" s="1553"/>
      <c r="N229" s="1077"/>
      <c r="O229" s="1077"/>
      <c r="P229" s="1077"/>
      <c r="Q229" s="1077"/>
      <c r="R229" s="1553"/>
      <c r="S229" s="1077"/>
      <c r="T229" s="1077"/>
      <c r="U229" s="478"/>
      <c r="V229" s="1077"/>
      <c r="W229" s="1077"/>
      <c r="X229" s="1077"/>
      <c r="Y229" s="1077"/>
      <c r="Z229" s="1077"/>
      <c r="AA229" s="1549"/>
      <c r="AB229" s="500"/>
      <c r="AC229" s="500"/>
      <c r="AD229" s="500"/>
      <c r="AE229" s="500"/>
      <c r="AF229" s="1558">
        <v>11</v>
      </c>
    </row>
    <row r="230" spans="1:32" s="2212" customFormat="1" ht="11.5" customHeight="1">
      <c r="A230" s="909"/>
      <c r="B230" s="1553"/>
      <c r="C230" s="1553"/>
      <c r="D230" s="285"/>
      <c r="K230" s="1077"/>
      <c r="L230" s="1553"/>
      <c r="M230" s="1553"/>
      <c r="N230" s="1077"/>
      <c r="O230" s="1077"/>
      <c r="P230" s="1077"/>
      <c r="Q230" s="1077"/>
      <c r="R230" s="1553"/>
      <c r="S230" s="1077"/>
      <c r="T230" s="1077"/>
      <c r="U230" s="478"/>
      <c r="V230" s="1077"/>
      <c r="W230" s="1077"/>
      <c r="X230" s="1077"/>
      <c r="Y230" s="1077"/>
      <c r="Z230" s="1077"/>
      <c r="AA230" s="1549"/>
      <c r="AB230" s="500"/>
      <c r="AC230" s="500"/>
      <c r="AD230" s="500"/>
      <c r="AE230" s="500"/>
      <c r="AF230" s="1558">
        <v>11</v>
      </c>
    </row>
    <row r="231" spans="1:32" s="2212" customFormat="1" ht="11.5" customHeight="1">
      <c r="A231" s="909"/>
      <c r="B231" s="1553"/>
      <c r="C231" s="1553"/>
      <c r="D231" s="285"/>
      <c r="K231" s="1077"/>
      <c r="L231" s="1553"/>
      <c r="M231" s="1553"/>
      <c r="N231" s="1077"/>
      <c r="O231" s="1077"/>
      <c r="P231" s="1077"/>
      <c r="Q231" s="1077"/>
      <c r="R231" s="1553"/>
      <c r="S231" s="1077"/>
      <c r="T231" s="1077"/>
      <c r="U231" s="478"/>
      <c r="V231" s="1077"/>
      <c r="W231" s="1077"/>
      <c r="X231" s="1077"/>
      <c r="Y231" s="1077"/>
      <c r="Z231" s="1077"/>
      <c r="AA231" s="1549"/>
      <c r="AB231" s="500"/>
      <c r="AC231" s="500"/>
      <c r="AD231" s="500"/>
      <c r="AE231" s="500"/>
      <c r="AF231" s="1558">
        <v>11</v>
      </c>
    </row>
    <row r="232" spans="1:32" s="2212" customFormat="1" ht="11.5" customHeight="1">
      <c r="A232" s="909"/>
      <c r="B232" s="1553"/>
      <c r="C232" s="1553"/>
      <c r="D232" s="285"/>
      <c r="K232" s="1077"/>
      <c r="L232" s="1553"/>
      <c r="M232" s="1553"/>
      <c r="N232" s="1077"/>
      <c r="O232" s="1077"/>
      <c r="P232" s="1077"/>
      <c r="Q232" s="1077"/>
      <c r="R232" s="1553"/>
      <c r="S232" s="1077"/>
      <c r="T232" s="1077"/>
      <c r="U232" s="478"/>
      <c r="V232" s="1077"/>
      <c r="W232" s="1077"/>
      <c r="X232" s="1077"/>
      <c r="Y232" s="1077"/>
      <c r="Z232" s="1077"/>
      <c r="AA232" s="1549"/>
      <c r="AB232" s="500"/>
      <c r="AC232" s="500"/>
      <c r="AD232" s="500"/>
      <c r="AE232" s="500"/>
      <c r="AF232" s="1558">
        <v>11</v>
      </c>
    </row>
    <row r="233" spans="1:32" s="2212" customFormat="1" ht="11.5" customHeight="1">
      <c r="A233" s="909"/>
      <c r="B233" s="1553"/>
      <c r="C233" s="1553"/>
      <c r="D233" s="285"/>
      <c r="K233" s="1077"/>
      <c r="L233" s="1553"/>
      <c r="M233" s="1553"/>
      <c r="N233" s="1077"/>
      <c r="O233" s="1077"/>
      <c r="P233" s="1077"/>
      <c r="Q233" s="1077"/>
      <c r="R233" s="1553"/>
      <c r="S233" s="1077"/>
      <c r="T233" s="1077"/>
      <c r="U233" s="478"/>
      <c r="V233" s="1077"/>
      <c r="W233" s="1077"/>
      <c r="X233" s="1077"/>
      <c r="Y233" s="1077"/>
      <c r="Z233" s="1077"/>
      <c r="AA233" s="1549"/>
      <c r="AB233" s="500"/>
      <c r="AC233" s="500"/>
      <c r="AD233" s="500"/>
      <c r="AE233" s="500"/>
      <c r="AF233" s="1558">
        <v>11</v>
      </c>
    </row>
    <row r="234" spans="1:32" s="2212" customFormat="1" ht="11.5" customHeight="1">
      <c r="A234" s="909"/>
      <c r="B234" s="1553"/>
      <c r="C234" s="1553"/>
      <c r="D234" s="285"/>
      <c r="K234" s="1077"/>
      <c r="L234" s="1553"/>
      <c r="M234" s="1553"/>
      <c r="N234" s="1077"/>
      <c r="O234" s="1077"/>
      <c r="P234" s="1077"/>
      <c r="Q234" s="1077"/>
      <c r="R234" s="1553"/>
      <c r="S234" s="1077"/>
      <c r="T234" s="1077"/>
      <c r="U234" s="478"/>
      <c r="V234" s="1077"/>
      <c r="W234" s="1077"/>
      <c r="X234" s="1077"/>
      <c r="Y234" s="1077"/>
      <c r="Z234" s="1077"/>
      <c r="AA234" s="1549"/>
      <c r="AB234" s="500"/>
      <c r="AC234" s="500"/>
      <c r="AD234" s="500"/>
      <c r="AE234" s="500"/>
      <c r="AF234" s="1558">
        <v>11</v>
      </c>
    </row>
    <row r="235" spans="1:32" s="2212" customFormat="1" ht="11.5" customHeight="1">
      <c r="A235" s="909"/>
      <c r="B235" s="1553"/>
      <c r="C235" s="1553"/>
      <c r="D235" s="285"/>
      <c r="K235" s="1077"/>
      <c r="L235" s="1553"/>
      <c r="M235" s="1553"/>
      <c r="N235" s="1077"/>
      <c r="O235" s="1077"/>
      <c r="P235" s="1077"/>
      <c r="Q235" s="1077"/>
      <c r="R235" s="1553"/>
      <c r="S235" s="1077"/>
      <c r="T235" s="1077"/>
      <c r="U235" s="478"/>
      <c r="V235" s="1077"/>
      <c r="W235" s="1077"/>
      <c r="X235" s="1077"/>
      <c r="Y235" s="1077"/>
      <c r="Z235" s="1077"/>
      <c r="AA235" s="1549"/>
      <c r="AB235" s="500"/>
      <c r="AC235" s="500"/>
      <c r="AD235" s="500"/>
      <c r="AE235" s="500"/>
      <c r="AF235" s="1558">
        <v>11</v>
      </c>
    </row>
    <row r="236" spans="1:32" s="2212" customFormat="1" ht="11.5" customHeight="1">
      <c r="A236" s="909"/>
      <c r="B236" s="1553"/>
      <c r="C236" s="1553"/>
      <c r="D236" s="285"/>
      <c r="K236" s="1077"/>
      <c r="L236" s="1553"/>
      <c r="M236" s="1553"/>
      <c r="N236" s="1077"/>
      <c r="O236" s="1077"/>
      <c r="P236" s="1077"/>
      <c r="Q236" s="1077"/>
      <c r="R236" s="1553"/>
      <c r="S236" s="1077"/>
      <c r="T236" s="1077"/>
      <c r="U236" s="478"/>
      <c r="V236" s="1077"/>
      <c r="W236" s="1077"/>
      <c r="X236" s="1077"/>
      <c r="Y236" s="1077"/>
      <c r="Z236" s="1077"/>
      <c r="AA236" s="1549"/>
      <c r="AB236" s="500"/>
      <c r="AC236" s="500"/>
      <c r="AD236" s="500"/>
      <c r="AE236" s="500"/>
      <c r="AF236" s="1558">
        <v>11</v>
      </c>
    </row>
    <row r="237" spans="1:32" s="2212" customFormat="1" ht="11.5" customHeight="1">
      <c r="A237" s="909"/>
      <c r="B237" s="1553"/>
      <c r="C237" s="1553"/>
      <c r="D237" s="285"/>
      <c r="K237" s="1077"/>
      <c r="L237" s="1553"/>
      <c r="M237" s="1553"/>
      <c r="N237" s="1077"/>
      <c r="O237" s="1077"/>
      <c r="P237" s="1077"/>
      <c r="Q237" s="1077"/>
      <c r="R237" s="1553"/>
      <c r="S237" s="1077"/>
      <c r="T237" s="1077"/>
      <c r="U237" s="478"/>
      <c r="V237" s="1077"/>
      <c r="W237" s="1077"/>
      <c r="X237" s="1077"/>
      <c r="Y237" s="1077"/>
      <c r="Z237" s="1077"/>
      <c r="AA237" s="1549"/>
      <c r="AB237" s="500"/>
      <c r="AC237" s="500"/>
      <c r="AD237" s="500"/>
      <c r="AE237" s="500"/>
      <c r="AF237" s="1558">
        <v>11</v>
      </c>
    </row>
    <row r="238" spans="1:32" s="2212" customFormat="1" ht="11.5" customHeight="1">
      <c r="A238" s="909"/>
      <c r="B238" s="1553"/>
      <c r="C238" s="1553"/>
      <c r="D238" s="285"/>
      <c r="K238" s="1077"/>
      <c r="L238" s="1553"/>
      <c r="M238" s="1553"/>
      <c r="N238" s="1077"/>
      <c r="O238" s="1077"/>
      <c r="P238" s="1077"/>
      <c r="Q238" s="1077"/>
      <c r="R238" s="1553"/>
      <c r="S238" s="1077"/>
      <c r="T238" s="1077"/>
      <c r="U238" s="478"/>
      <c r="V238" s="1077"/>
      <c r="W238" s="1077"/>
      <c r="X238" s="1077"/>
      <c r="Y238" s="1077"/>
      <c r="Z238" s="1077"/>
      <c r="AA238" s="1549"/>
      <c r="AB238" s="500"/>
      <c r="AC238" s="500"/>
      <c r="AD238" s="500"/>
      <c r="AE238" s="500"/>
      <c r="AF238" s="1558">
        <v>11</v>
      </c>
    </row>
    <row r="239" spans="1:32" s="2212" customFormat="1" ht="11.5" customHeight="1">
      <c r="A239" s="909"/>
      <c r="B239" s="1553"/>
      <c r="C239" s="1553"/>
      <c r="D239" s="285"/>
      <c r="K239" s="1077"/>
      <c r="L239" s="1553"/>
      <c r="M239" s="1553"/>
      <c r="N239" s="1077"/>
      <c r="O239" s="1077"/>
      <c r="P239" s="1077"/>
      <c r="Q239" s="1077"/>
      <c r="R239" s="1553"/>
      <c r="S239" s="1077"/>
      <c r="T239" s="1077"/>
      <c r="U239" s="478"/>
      <c r="V239" s="1077"/>
      <c r="W239" s="1077"/>
      <c r="X239" s="1077"/>
      <c r="Y239" s="1077"/>
      <c r="Z239" s="1077"/>
      <c r="AA239" s="1549"/>
      <c r="AB239" s="500"/>
      <c r="AC239" s="500"/>
      <c r="AD239" s="500"/>
      <c r="AE239" s="500"/>
      <c r="AF239" s="1558">
        <v>11</v>
      </c>
    </row>
    <row r="240" spans="1:32" s="2212" customFormat="1" ht="11.5" customHeight="1">
      <c r="A240" s="909"/>
      <c r="B240" s="1553"/>
      <c r="C240" s="1553"/>
      <c r="D240" s="285"/>
      <c r="K240" s="1077"/>
      <c r="L240" s="1553"/>
      <c r="M240" s="1553"/>
      <c r="N240" s="1077"/>
      <c r="O240" s="1077"/>
      <c r="P240" s="1077"/>
      <c r="Q240" s="1077"/>
      <c r="R240" s="1553"/>
      <c r="S240" s="1077"/>
      <c r="T240" s="1077"/>
      <c r="U240" s="478"/>
      <c r="V240" s="1077"/>
      <c r="W240" s="1077"/>
      <c r="X240" s="1077"/>
      <c r="Y240" s="1077"/>
      <c r="Z240" s="1077"/>
      <c r="AA240" s="1549"/>
      <c r="AB240" s="500"/>
      <c r="AC240" s="500"/>
      <c r="AD240" s="500"/>
      <c r="AE240" s="500"/>
      <c r="AF240" s="1558">
        <v>11</v>
      </c>
    </row>
    <row r="241" spans="1:32" s="2212" customFormat="1" ht="11.5" customHeight="1">
      <c r="A241" s="909"/>
      <c r="B241" s="1553"/>
      <c r="C241" s="1553"/>
      <c r="D241" s="285"/>
      <c r="K241" s="1077"/>
      <c r="L241" s="1553"/>
      <c r="M241" s="1553"/>
      <c r="N241" s="1077"/>
      <c r="O241" s="1077"/>
      <c r="P241" s="1077"/>
      <c r="Q241" s="1077"/>
      <c r="R241" s="1553"/>
      <c r="S241" s="1077"/>
      <c r="T241" s="1077"/>
      <c r="U241" s="478"/>
      <c r="V241" s="1077"/>
      <c r="W241" s="1077"/>
      <c r="X241" s="1077"/>
      <c r="Y241" s="1077"/>
      <c r="Z241" s="1077"/>
      <c r="AA241" s="1549"/>
      <c r="AB241" s="500"/>
      <c r="AC241" s="500"/>
      <c r="AD241" s="500"/>
      <c r="AE241" s="500"/>
      <c r="AF241" s="1558">
        <v>11</v>
      </c>
    </row>
    <row r="242" spans="1:32" s="2212" customFormat="1" ht="11.5" customHeight="1">
      <c r="A242" s="909"/>
      <c r="B242" s="1553"/>
      <c r="C242" s="1553"/>
      <c r="D242" s="285"/>
      <c r="K242" s="1077"/>
      <c r="L242" s="1553"/>
      <c r="M242" s="1553"/>
      <c r="N242" s="1077"/>
      <c r="O242" s="1077"/>
      <c r="P242" s="1077"/>
      <c r="Q242" s="1077"/>
      <c r="R242" s="1553"/>
      <c r="S242" s="1077"/>
      <c r="T242" s="1077"/>
      <c r="U242" s="478"/>
      <c r="V242" s="1077"/>
      <c r="W242" s="1077"/>
      <c r="X242" s="1077"/>
      <c r="Y242" s="1077"/>
      <c r="Z242" s="1077"/>
      <c r="AA242" s="1549"/>
      <c r="AB242" s="500"/>
      <c r="AC242" s="500"/>
      <c r="AD242" s="500"/>
      <c r="AE242" s="500"/>
      <c r="AF242" s="1558">
        <v>11</v>
      </c>
    </row>
    <row r="243" spans="1:32" s="2212" customFormat="1" ht="11.5" customHeight="1">
      <c r="A243" s="909"/>
      <c r="B243" s="1553"/>
      <c r="C243" s="1553"/>
      <c r="D243" s="285"/>
      <c r="K243" s="1077"/>
      <c r="L243" s="1553"/>
      <c r="M243" s="1553"/>
      <c r="N243" s="1077"/>
      <c r="O243" s="1077"/>
      <c r="P243" s="1077"/>
      <c r="Q243" s="1077"/>
      <c r="R243" s="1553"/>
      <c r="S243" s="1077"/>
      <c r="T243" s="1077"/>
      <c r="U243" s="478"/>
      <c r="V243" s="1077"/>
      <c r="W243" s="1077"/>
      <c r="X243" s="1077"/>
      <c r="Y243" s="1077"/>
      <c r="Z243" s="1077"/>
      <c r="AA243" s="1549"/>
      <c r="AB243" s="500"/>
      <c r="AC243" s="500"/>
      <c r="AD243" s="500"/>
      <c r="AE243" s="500"/>
      <c r="AF243" s="1558">
        <v>11</v>
      </c>
    </row>
    <row r="244" spans="1:32" s="2212" customFormat="1" ht="11.5" customHeight="1">
      <c r="A244" s="909"/>
      <c r="B244" s="1553"/>
      <c r="C244" s="1553"/>
      <c r="D244" s="285"/>
      <c r="K244" s="1077"/>
      <c r="L244" s="1553"/>
      <c r="M244" s="1553"/>
      <c r="N244" s="1077"/>
      <c r="O244" s="1077"/>
      <c r="P244" s="1077"/>
      <c r="Q244" s="1077"/>
      <c r="R244" s="1553"/>
      <c r="S244" s="1077"/>
      <c r="T244" s="1077"/>
      <c r="U244" s="478"/>
      <c r="V244" s="1077"/>
      <c r="W244" s="1077"/>
      <c r="X244" s="1077"/>
      <c r="Y244" s="1077"/>
      <c r="Z244" s="1077"/>
      <c r="AA244" s="1549"/>
      <c r="AB244" s="500"/>
      <c r="AC244" s="500"/>
      <c r="AD244" s="500"/>
      <c r="AE244" s="500"/>
      <c r="AF244" s="1558">
        <v>11</v>
      </c>
    </row>
    <row r="245" spans="1:32" s="2212" customFormat="1" ht="11.5" customHeight="1">
      <c r="A245" s="909"/>
      <c r="B245" s="1553"/>
      <c r="C245" s="1553"/>
      <c r="D245" s="285"/>
      <c r="K245" s="1077"/>
      <c r="L245" s="1553"/>
      <c r="M245" s="1553"/>
      <c r="N245" s="1077"/>
      <c r="O245" s="1077"/>
      <c r="P245" s="1077"/>
      <c r="Q245" s="1077"/>
      <c r="R245" s="1553"/>
      <c r="S245" s="1077"/>
      <c r="T245" s="1077"/>
      <c r="U245" s="478"/>
      <c r="V245" s="1077"/>
      <c r="W245" s="1077"/>
      <c r="X245" s="1077"/>
      <c r="Y245" s="1077"/>
      <c r="Z245" s="1077"/>
      <c r="AA245" s="1549"/>
      <c r="AB245" s="500"/>
      <c r="AC245" s="500"/>
      <c r="AD245" s="500"/>
      <c r="AE245" s="500"/>
      <c r="AF245" s="1558">
        <v>11</v>
      </c>
    </row>
    <row r="246" spans="1:32" s="2212" customFormat="1" ht="11.5" customHeight="1">
      <c r="A246" s="909"/>
      <c r="B246" s="1553"/>
      <c r="C246" s="1553"/>
      <c r="D246" s="285"/>
      <c r="K246" s="1077"/>
      <c r="L246" s="1553"/>
      <c r="M246" s="1553"/>
      <c r="N246" s="1077"/>
      <c r="O246" s="1077"/>
      <c r="P246" s="1077"/>
      <c r="Q246" s="1077"/>
      <c r="R246" s="1553"/>
      <c r="S246" s="1077"/>
      <c r="T246" s="1077"/>
      <c r="U246" s="478"/>
      <c r="V246" s="1077"/>
      <c r="W246" s="1077"/>
      <c r="X246" s="1077"/>
      <c r="Y246" s="1077"/>
      <c r="Z246" s="1077"/>
      <c r="AA246" s="1549"/>
      <c r="AB246" s="500"/>
      <c r="AC246" s="500"/>
      <c r="AD246" s="500"/>
      <c r="AE246" s="500"/>
      <c r="AF246" s="1558">
        <v>11</v>
      </c>
    </row>
    <row r="247" spans="1:32" s="2212" customFormat="1" ht="11.5" customHeight="1">
      <c r="A247" s="909"/>
      <c r="B247" s="1553"/>
      <c r="C247" s="1553"/>
      <c r="D247" s="285"/>
      <c r="K247" s="1077"/>
      <c r="L247" s="1553"/>
      <c r="M247" s="1553"/>
      <c r="N247" s="1077"/>
      <c r="O247" s="1077"/>
      <c r="P247" s="1077"/>
      <c r="Q247" s="1077"/>
      <c r="R247" s="1553"/>
      <c r="S247" s="1077"/>
      <c r="T247" s="1077"/>
      <c r="U247" s="478"/>
      <c r="V247" s="1077"/>
      <c r="W247" s="1077"/>
      <c r="X247" s="1077"/>
      <c r="Y247" s="1077"/>
      <c r="Z247" s="1077"/>
      <c r="AA247" s="1549"/>
      <c r="AB247" s="500"/>
      <c r="AC247" s="500"/>
      <c r="AD247" s="500"/>
      <c r="AE247" s="500"/>
      <c r="AF247" s="1558">
        <v>11</v>
      </c>
    </row>
    <row r="248" spans="1:32" s="2212" customFormat="1" ht="11.5" customHeight="1">
      <c r="A248" s="909"/>
      <c r="B248" s="1553"/>
      <c r="C248" s="1553"/>
      <c r="D248" s="285"/>
      <c r="K248" s="1077"/>
      <c r="L248" s="1553"/>
      <c r="M248" s="1553"/>
      <c r="N248" s="1077"/>
      <c r="O248" s="1077"/>
      <c r="P248" s="1077"/>
      <c r="Q248" s="1077"/>
      <c r="R248" s="1553"/>
      <c r="S248" s="1077"/>
      <c r="T248" s="1077"/>
      <c r="U248" s="478"/>
      <c r="V248" s="1077"/>
      <c r="W248" s="1077"/>
      <c r="X248" s="1077"/>
      <c r="Y248" s="1077"/>
      <c r="Z248" s="1077"/>
      <c r="AA248" s="1549"/>
      <c r="AB248" s="500"/>
      <c r="AC248" s="500"/>
      <c r="AD248" s="500"/>
      <c r="AE248" s="500"/>
      <c r="AF248" s="1558">
        <v>11</v>
      </c>
    </row>
    <row r="249" spans="1:32" s="2212" customFormat="1" ht="11.5" customHeight="1">
      <c r="A249" s="909"/>
      <c r="B249" s="1553"/>
      <c r="C249" s="1553"/>
      <c r="D249" s="285"/>
      <c r="K249" s="1077"/>
      <c r="L249" s="1553"/>
      <c r="M249" s="1553"/>
      <c r="N249" s="1077"/>
      <c r="O249" s="1077"/>
      <c r="P249" s="1077"/>
      <c r="Q249" s="1077"/>
      <c r="R249" s="1553"/>
      <c r="S249" s="1077"/>
      <c r="T249" s="1077"/>
      <c r="U249" s="478"/>
      <c r="V249" s="1077"/>
      <c r="W249" s="1077"/>
      <c r="X249" s="1077"/>
      <c r="Y249" s="1077"/>
      <c r="Z249" s="1077"/>
      <c r="AA249" s="1549"/>
      <c r="AB249" s="500"/>
      <c r="AC249" s="500"/>
      <c r="AD249" s="500"/>
      <c r="AE249" s="500"/>
      <c r="AF249" s="1558">
        <v>11</v>
      </c>
    </row>
    <row r="250" spans="1:32" s="2212" customFormat="1" ht="11.5" customHeight="1">
      <c r="A250" s="909"/>
      <c r="B250" s="1553"/>
      <c r="C250" s="1553"/>
      <c r="D250" s="285"/>
      <c r="K250" s="1077"/>
      <c r="L250" s="1553"/>
      <c r="M250" s="1553"/>
      <c r="N250" s="1077"/>
      <c r="O250" s="1077"/>
      <c r="P250" s="1077"/>
      <c r="Q250" s="1077"/>
      <c r="R250" s="1553"/>
      <c r="S250" s="1077"/>
      <c r="T250" s="1077"/>
      <c r="U250" s="478"/>
      <c r="V250" s="1077"/>
      <c r="W250" s="1077"/>
      <c r="X250" s="1077"/>
      <c r="Y250" s="1077"/>
      <c r="Z250" s="1077"/>
      <c r="AA250" s="1549"/>
      <c r="AB250" s="500"/>
      <c r="AC250" s="500"/>
      <c r="AD250" s="500"/>
      <c r="AE250" s="500"/>
      <c r="AF250" s="1558">
        <v>11</v>
      </c>
    </row>
    <row r="251" spans="1:32" s="2212" customFormat="1" ht="11.5" customHeight="1">
      <c r="A251" s="909"/>
      <c r="B251" s="1553"/>
      <c r="C251" s="1553"/>
      <c r="D251" s="285"/>
      <c r="K251" s="1077"/>
      <c r="L251" s="1553"/>
      <c r="M251" s="1553"/>
      <c r="N251" s="1077"/>
      <c r="O251" s="1077"/>
      <c r="P251" s="1077"/>
      <c r="Q251" s="1077"/>
      <c r="R251" s="1553"/>
      <c r="S251" s="1077"/>
      <c r="T251" s="1077"/>
      <c r="U251" s="478"/>
      <c r="V251" s="1077"/>
      <c r="W251" s="1077"/>
      <c r="X251" s="1077"/>
      <c r="Y251" s="1077"/>
      <c r="Z251" s="1077"/>
      <c r="AA251" s="1549"/>
      <c r="AB251" s="500"/>
      <c r="AC251" s="500"/>
      <c r="AD251" s="500"/>
      <c r="AE251" s="500"/>
      <c r="AF251" s="1558">
        <v>11</v>
      </c>
    </row>
    <row r="252" spans="1:32" s="2212" customFormat="1" ht="11.5" customHeight="1">
      <c r="A252" s="909"/>
      <c r="B252" s="1553"/>
      <c r="C252" s="1553"/>
      <c r="D252" s="285"/>
      <c r="K252" s="1077"/>
      <c r="L252" s="1553"/>
      <c r="M252" s="1553"/>
      <c r="N252" s="1077"/>
      <c r="O252" s="1077"/>
      <c r="P252" s="1077"/>
      <c r="Q252" s="1077"/>
      <c r="R252" s="1553"/>
      <c r="S252" s="1077"/>
      <c r="T252" s="1077"/>
      <c r="U252" s="478"/>
      <c r="V252" s="1077"/>
      <c r="W252" s="1077"/>
      <c r="X252" s="1077"/>
      <c r="Y252" s="1077"/>
      <c r="Z252" s="1077"/>
      <c r="AA252" s="1549"/>
      <c r="AB252" s="500"/>
      <c r="AC252" s="500"/>
      <c r="AD252" s="500"/>
      <c r="AE252" s="500"/>
      <c r="AF252" s="1558">
        <v>11</v>
      </c>
    </row>
    <row r="253" spans="1:32" s="2212" customFormat="1" ht="11.5" customHeight="1">
      <c r="A253" s="909"/>
      <c r="B253" s="1553"/>
      <c r="C253" s="1553"/>
      <c r="D253" s="285"/>
      <c r="K253" s="1077"/>
      <c r="L253" s="1553"/>
      <c r="M253" s="1553"/>
      <c r="N253" s="1077"/>
      <c r="O253" s="1077"/>
      <c r="P253" s="1077"/>
      <c r="Q253" s="1077"/>
      <c r="R253" s="1553"/>
      <c r="S253" s="1077"/>
      <c r="T253" s="1077"/>
      <c r="U253" s="478"/>
      <c r="V253" s="1077"/>
      <c r="W253" s="1077"/>
      <c r="X253" s="1077"/>
      <c r="Y253" s="1077"/>
      <c r="Z253" s="1077"/>
      <c r="AA253" s="1549"/>
      <c r="AB253" s="500"/>
      <c r="AC253" s="500"/>
      <c r="AD253" s="500"/>
      <c r="AE253" s="500"/>
      <c r="AF253" s="1558">
        <v>11</v>
      </c>
    </row>
    <row r="254" spans="1:32" s="2212" customFormat="1" ht="11.5" customHeight="1">
      <c r="A254" s="909"/>
      <c r="B254" s="1553"/>
      <c r="C254" s="1553"/>
      <c r="D254" s="285"/>
      <c r="K254" s="1077"/>
      <c r="L254" s="1553"/>
      <c r="M254" s="1553"/>
      <c r="N254" s="1077"/>
      <c r="O254" s="1077"/>
      <c r="P254" s="1077"/>
      <c r="Q254" s="1077"/>
      <c r="R254" s="1553"/>
      <c r="S254" s="1077"/>
      <c r="T254" s="1077"/>
      <c r="U254" s="478"/>
      <c r="V254" s="1077"/>
      <c r="W254" s="1077"/>
      <c r="X254" s="1077"/>
      <c r="Y254" s="1077"/>
      <c r="Z254" s="1077"/>
      <c r="AA254" s="1549"/>
      <c r="AB254" s="500"/>
      <c r="AC254" s="500"/>
      <c r="AD254" s="500"/>
      <c r="AE254" s="500"/>
      <c r="AF254" s="1558">
        <v>11</v>
      </c>
    </row>
    <row r="255" spans="1:32" s="2212" customFormat="1" ht="11.5" customHeight="1">
      <c r="A255" s="909"/>
      <c r="B255" s="1553"/>
      <c r="C255" s="1553"/>
      <c r="D255" s="285"/>
      <c r="K255" s="1077"/>
      <c r="L255" s="1553"/>
      <c r="M255" s="1553"/>
      <c r="N255" s="1077"/>
      <c r="O255" s="1077"/>
      <c r="P255" s="1077"/>
      <c r="Q255" s="1077"/>
      <c r="R255" s="1553"/>
      <c r="S255" s="1077"/>
      <c r="T255" s="1077"/>
      <c r="U255" s="478"/>
      <c r="V255" s="1077"/>
      <c r="W255" s="1077"/>
      <c r="X255" s="1077"/>
      <c r="Y255" s="1077"/>
      <c r="Z255" s="1077"/>
      <c r="AA255" s="1549"/>
      <c r="AB255" s="500"/>
      <c r="AC255" s="500"/>
      <c r="AD255" s="500"/>
      <c r="AE255" s="500"/>
      <c r="AF255" s="1558">
        <v>11</v>
      </c>
    </row>
    <row r="256" spans="1:32" s="2212" customFormat="1" ht="11.5" customHeight="1">
      <c r="A256" s="909"/>
      <c r="B256" s="1553"/>
      <c r="C256" s="1553"/>
      <c r="D256" s="285"/>
      <c r="K256" s="1077"/>
      <c r="L256" s="1553"/>
      <c r="M256" s="1553"/>
      <c r="N256" s="1077"/>
      <c r="O256" s="1077"/>
      <c r="P256" s="1077"/>
      <c r="Q256" s="1077"/>
      <c r="R256" s="1553"/>
      <c r="S256" s="1077"/>
      <c r="T256" s="1077"/>
      <c r="U256" s="478"/>
      <c r="V256" s="1077"/>
      <c r="W256" s="1077"/>
      <c r="X256" s="1077"/>
      <c r="Y256" s="1077"/>
      <c r="Z256" s="1077"/>
      <c r="AA256" s="1549"/>
      <c r="AB256" s="500"/>
      <c r="AC256" s="500"/>
      <c r="AD256" s="500"/>
      <c r="AE256" s="500"/>
      <c r="AF256" s="1558">
        <v>11</v>
      </c>
    </row>
    <row r="257" spans="1:32" s="2212" customFormat="1" ht="11.5" customHeight="1">
      <c r="A257" s="909"/>
      <c r="B257" s="1553"/>
      <c r="C257" s="1553"/>
      <c r="D257" s="285"/>
      <c r="K257" s="1077"/>
      <c r="L257" s="1553"/>
      <c r="M257" s="1553"/>
      <c r="N257" s="1077"/>
      <c r="O257" s="1077"/>
      <c r="P257" s="1077"/>
      <c r="Q257" s="1077"/>
      <c r="R257" s="1553"/>
      <c r="S257" s="1077"/>
      <c r="T257" s="1077"/>
      <c r="U257" s="478"/>
      <c r="V257" s="1077"/>
      <c r="W257" s="1077"/>
      <c r="X257" s="1077"/>
      <c r="Y257" s="1077"/>
      <c r="Z257" s="1077"/>
      <c r="AA257" s="1549"/>
      <c r="AB257" s="500"/>
      <c r="AC257" s="500"/>
      <c r="AD257" s="500"/>
      <c r="AE257" s="500"/>
      <c r="AF257" s="1558">
        <v>11</v>
      </c>
    </row>
    <row r="258" spans="1:32" s="2212" customFormat="1" ht="11.5" customHeight="1">
      <c r="A258" s="909"/>
      <c r="B258" s="1553"/>
      <c r="C258" s="1553"/>
      <c r="D258" s="285"/>
      <c r="K258" s="1077"/>
      <c r="L258" s="1553"/>
      <c r="M258" s="1553"/>
      <c r="N258" s="1077"/>
      <c r="O258" s="1077"/>
      <c r="P258" s="1077"/>
      <c r="Q258" s="1077"/>
      <c r="R258" s="1553"/>
      <c r="S258" s="1077"/>
      <c r="T258" s="1077"/>
      <c r="U258" s="478"/>
      <c r="V258" s="1077"/>
      <c r="W258" s="1077"/>
      <c r="X258" s="1077"/>
      <c r="Y258" s="1077"/>
      <c r="Z258" s="1077"/>
      <c r="AA258" s="1549"/>
      <c r="AB258" s="500"/>
      <c r="AC258" s="500"/>
      <c r="AD258" s="500"/>
      <c r="AE258" s="500"/>
      <c r="AF258" s="1558">
        <v>11</v>
      </c>
    </row>
    <row r="259" spans="1:32" s="2212" customFormat="1" ht="11.5" customHeight="1">
      <c r="A259" s="909"/>
      <c r="B259" s="1553"/>
      <c r="C259" s="1553"/>
      <c r="D259" s="285"/>
      <c r="K259" s="1077"/>
      <c r="L259" s="1553"/>
      <c r="M259" s="1553"/>
      <c r="N259" s="1077"/>
      <c r="O259" s="1077"/>
      <c r="P259" s="1077"/>
      <c r="Q259" s="1077"/>
      <c r="R259" s="1553"/>
      <c r="S259" s="1077"/>
      <c r="T259" s="1077"/>
      <c r="U259" s="478"/>
      <c r="V259" s="1077"/>
      <c r="W259" s="1077"/>
      <c r="X259" s="1077"/>
      <c r="Y259" s="1077"/>
      <c r="Z259" s="1077"/>
      <c r="AA259" s="1549"/>
      <c r="AB259" s="500"/>
      <c r="AC259" s="500"/>
      <c r="AD259" s="500"/>
      <c r="AE259" s="500"/>
      <c r="AF259" s="1558">
        <v>11</v>
      </c>
    </row>
    <row r="260" spans="1:32" s="2212" customFormat="1" ht="11.5" customHeight="1">
      <c r="A260" s="909"/>
      <c r="B260" s="1553"/>
      <c r="C260" s="1553"/>
      <c r="D260" s="285"/>
      <c r="K260" s="1077"/>
      <c r="L260" s="1553"/>
      <c r="M260" s="1553"/>
      <c r="N260" s="1077"/>
      <c r="O260" s="1077"/>
      <c r="P260" s="1077"/>
      <c r="Q260" s="1077"/>
      <c r="R260" s="1553"/>
      <c r="S260" s="1077"/>
      <c r="T260" s="1077"/>
      <c r="U260" s="478"/>
      <c r="V260" s="1077"/>
      <c r="W260" s="1077"/>
      <c r="X260" s="1077"/>
      <c r="Y260" s="1077"/>
      <c r="Z260" s="1077"/>
      <c r="AA260" s="1549"/>
      <c r="AB260" s="500"/>
      <c r="AC260" s="500"/>
      <c r="AD260" s="500"/>
      <c r="AE260" s="500"/>
      <c r="AF260" s="1558">
        <v>11</v>
      </c>
    </row>
    <row r="261" spans="1:32" s="2212" customFormat="1" ht="11.5" customHeight="1">
      <c r="A261" s="909"/>
      <c r="B261" s="1553"/>
      <c r="C261" s="1553"/>
      <c r="D261" s="285"/>
      <c r="K261" s="1077"/>
      <c r="L261" s="1553"/>
      <c r="M261" s="1553"/>
      <c r="N261" s="1077"/>
      <c r="O261" s="1077"/>
      <c r="P261" s="1077"/>
      <c r="Q261" s="1077"/>
      <c r="R261" s="1553"/>
      <c r="S261" s="1077"/>
      <c r="T261" s="1077"/>
      <c r="U261" s="478"/>
      <c r="V261" s="1077"/>
      <c r="W261" s="1077"/>
      <c r="X261" s="1077"/>
      <c r="Y261" s="1077"/>
      <c r="Z261" s="1077"/>
      <c r="AA261" s="1549"/>
      <c r="AB261" s="500"/>
      <c r="AC261" s="500"/>
      <c r="AD261" s="500"/>
      <c r="AE261" s="500"/>
      <c r="AF261" s="1558">
        <v>11</v>
      </c>
    </row>
    <row r="262" spans="1:32" s="2212" customFormat="1" ht="11.5" customHeight="1">
      <c r="A262" s="909"/>
      <c r="B262" s="1553"/>
      <c r="C262" s="1553"/>
      <c r="D262" s="285"/>
      <c r="K262" s="1077"/>
      <c r="L262" s="1553"/>
      <c r="M262" s="1553"/>
      <c r="N262" s="1077"/>
      <c r="O262" s="1077"/>
      <c r="P262" s="1077"/>
      <c r="Q262" s="1077"/>
      <c r="R262" s="1553"/>
      <c r="S262" s="1077"/>
      <c r="T262" s="1077"/>
      <c r="U262" s="478"/>
      <c r="V262" s="1077"/>
      <c r="W262" s="1077"/>
      <c r="X262" s="1077"/>
      <c r="Y262" s="1077"/>
      <c r="Z262" s="1077"/>
      <c r="AA262" s="1549"/>
      <c r="AB262" s="500"/>
      <c r="AC262" s="500"/>
      <c r="AD262" s="500"/>
      <c r="AE262" s="500"/>
      <c r="AF262" s="1558">
        <v>11</v>
      </c>
    </row>
    <row r="263" spans="1:32" s="2212" customFormat="1" ht="11.5" customHeight="1">
      <c r="A263" s="909"/>
      <c r="B263" s="1553"/>
      <c r="C263" s="1553"/>
      <c r="D263" s="285"/>
      <c r="K263" s="1077"/>
      <c r="L263" s="1553"/>
      <c r="M263" s="1553"/>
      <c r="N263" s="1077"/>
      <c r="O263" s="1077"/>
      <c r="P263" s="1077"/>
      <c r="Q263" s="1077"/>
      <c r="R263" s="1553"/>
      <c r="S263" s="1077"/>
      <c r="T263" s="1077"/>
      <c r="U263" s="478"/>
      <c r="V263" s="1077"/>
      <c r="W263" s="1077"/>
      <c r="X263" s="1077"/>
      <c r="Y263" s="1077"/>
      <c r="Z263" s="1077"/>
      <c r="AA263" s="1549"/>
      <c r="AB263" s="500"/>
      <c r="AC263" s="500"/>
      <c r="AD263" s="500"/>
      <c r="AE263" s="500"/>
      <c r="AF263" s="1558">
        <v>11</v>
      </c>
    </row>
    <row r="264" spans="1:32" s="2212" customFormat="1" ht="11.5" customHeight="1">
      <c r="A264" s="909"/>
      <c r="B264" s="1553"/>
      <c r="C264" s="1553"/>
      <c r="D264" s="285"/>
      <c r="K264" s="1077"/>
      <c r="L264" s="1553"/>
      <c r="M264" s="1553"/>
      <c r="N264" s="1077"/>
      <c r="O264" s="1077"/>
      <c r="P264" s="1077"/>
      <c r="Q264" s="1077"/>
      <c r="R264" s="1553"/>
      <c r="S264" s="1077"/>
      <c r="T264" s="1077"/>
      <c r="U264" s="478"/>
      <c r="V264" s="1077"/>
      <c r="W264" s="1077"/>
      <c r="X264" s="1077"/>
      <c r="Y264" s="1077"/>
      <c r="Z264" s="1077"/>
      <c r="AA264" s="1549"/>
      <c r="AB264" s="500"/>
      <c r="AC264" s="500"/>
      <c r="AD264" s="500"/>
      <c r="AE264" s="500"/>
      <c r="AF264" s="1558">
        <v>11</v>
      </c>
    </row>
    <row r="265" spans="1:32" s="2212" customFormat="1" ht="11.5" customHeight="1">
      <c r="A265" s="909"/>
      <c r="B265" s="1553"/>
      <c r="C265" s="1553"/>
      <c r="D265" s="285"/>
      <c r="K265" s="1077"/>
      <c r="L265" s="1553"/>
      <c r="M265" s="1553"/>
      <c r="N265" s="1077"/>
      <c r="O265" s="1077"/>
      <c r="P265" s="1077"/>
      <c r="Q265" s="1077"/>
      <c r="R265" s="1553"/>
      <c r="S265" s="1077"/>
      <c r="T265" s="1077"/>
      <c r="U265" s="478"/>
      <c r="V265" s="1077"/>
      <c r="W265" s="1077"/>
      <c r="X265" s="1077"/>
      <c r="Y265" s="1077"/>
      <c r="Z265" s="1077"/>
      <c r="AA265" s="1549"/>
      <c r="AB265" s="500"/>
      <c r="AC265" s="500"/>
      <c r="AD265" s="500"/>
      <c r="AE265" s="500"/>
      <c r="AF265" s="1558">
        <v>11</v>
      </c>
    </row>
    <row r="266" spans="1:32" s="2212" customFormat="1" ht="11.5" customHeight="1">
      <c r="A266" s="909"/>
      <c r="B266" s="1553"/>
      <c r="C266" s="1553"/>
      <c r="D266" s="285"/>
      <c r="K266" s="1077"/>
      <c r="L266" s="1553"/>
      <c r="M266" s="1553"/>
      <c r="N266" s="1077"/>
      <c r="O266" s="1077"/>
      <c r="P266" s="1077"/>
      <c r="Q266" s="1077"/>
      <c r="R266" s="1553"/>
      <c r="S266" s="1077"/>
      <c r="T266" s="1077"/>
      <c r="U266" s="478"/>
      <c r="V266" s="1077"/>
      <c r="W266" s="1077"/>
      <c r="X266" s="1077"/>
      <c r="Y266" s="1077"/>
      <c r="Z266" s="1077"/>
      <c r="AA266" s="1549"/>
      <c r="AB266" s="500"/>
      <c r="AC266" s="500"/>
      <c r="AD266" s="500"/>
      <c r="AE266" s="500"/>
      <c r="AF266" s="1558">
        <v>11</v>
      </c>
    </row>
    <row r="267" spans="1:32" s="2212" customFormat="1" ht="11.5" customHeight="1">
      <c r="A267" s="909"/>
      <c r="B267" s="1553"/>
      <c r="C267" s="1553"/>
      <c r="D267" s="285"/>
      <c r="K267" s="1077"/>
      <c r="L267" s="1553"/>
      <c r="M267" s="1553"/>
      <c r="N267" s="1077"/>
      <c r="O267" s="1077"/>
      <c r="P267" s="1077"/>
      <c r="Q267" s="1077"/>
      <c r="R267" s="1553"/>
      <c r="S267" s="1077"/>
      <c r="T267" s="1077"/>
      <c r="U267" s="478"/>
      <c r="V267" s="1077"/>
      <c r="W267" s="1077"/>
      <c r="X267" s="1077"/>
      <c r="Y267" s="1077"/>
      <c r="Z267" s="1077"/>
      <c r="AA267" s="1549"/>
      <c r="AB267" s="500"/>
      <c r="AC267" s="500"/>
      <c r="AD267" s="500"/>
      <c r="AE267" s="500"/>
      <c r="AF267" s="1558">
        <v>11</v>
      </c>
    </row>
    <row r="268" spans="1:32" s="2212" customFormat="1" ht="11.5" customHeight="1">
      <c r="A268" s="909"/>
      <c r="B268" s="1553"/>
      <c r="C268" s="1553"/>
      <c r="D268" s="285"/>
      <c r="K268" s="1077"/>
      <c r="L268" s="1553"/>
      <c r="M268" s="1553"/>
      <c r="N268" s="1077"/>
      <c r="O268" s="1077"/>
      <c r="P268" s="1077"/>
      <c r="Q268" s="1077"/>
      <c r="R268" s="1553"/>
      <c r="S268" s="1077"/>
      <c r="T268" s="1077"/>
      <c r="U268" s="478"/>
      <c r="V268" s="1077"/>
      <c r="W268" s="1077"/>
      <c r="X268" s="1077"/>
      <c r="Y268" s="1077"/>
      <c r="Z268" s="1077"/>
      <c r="AA268" s="1549"/>
      <c r="AB268" s="500"/>
      <c r="AC268" s="500"/>
      <c r="AD268" s="500"/>
      <c r="AE268" s="500"/>
      <c r="AF268" s="1558">
        <v>11</v>
      </c>
    </row>
    <row r="269" spans="1:32" s="2212" customFormat="1" ht="11.5" customHeight="1">
      <c r="A269" s="909"/>
      <c r="B269" s="1553"/>
      <c r="C269" s="1553"/>
      <c r="D269" s="285"/>
      <c r="K269" s="1077"/>
      <c r="L269" s="1553"/>
      <c r="M269" s="1553"/>
      <c r="N269" s="1077"/>
      <c r="O269" s="1077"/>
      <c r="P269" s="1077"/>
      <c r="Q269" s="1077"/>
      <c r="R269" s="1553"/>
      <c r="S269" s="1077"/>
      <c r="T269" s="1077"/>
      <c r="U269" s="478"/>
      <c r="V269" s="1077"/>
      <c r="W269" s="1077"/>
      <c r="X269" s="1077"/>
      <c r="Y269" s="1077"/>
      <c r="Z269" s="1077"/>
      <c r="AA269" s="1549"/>
      <c r="AB269" s="500"/>
      <c r="AC269" s="500"/>
      <c r="AD269" s="500"/>
      <c r="AE269" s="500"/>
      <c r="AF269" s="1558">
        <v>11</v>
      </c>
    </row>
    <row r="270" spans="1:32" s="2212" customFormat="1" ht="11.5" customHeight="1">
      <c r="A270" s="909"/>
      <c r="B270" s="1553"/>
      <c r="C270" s="1553"/>
      <c r="D270" s="285"/>
      <c r="K270" s="1077"/>
      <c r="L270" s="1553"/>
      <c r="M270" s="1553"/>
      <c r="N270" s="1077"/>
      <c r="O270" s="1077"/>
      <c r="P270" s="1077"/>
      <c r="Q270" s="1077"/>
      <c r="R270" s="1553"/>
      <c r="S270" s="1077"/>
      <c r="T270" s="1077"/>
      <c r="U270" s="478"/>
      <c r="V270" s="1077"/>
      <c r="W270" s="1077"/>
      <c r="X270" s="1077"/>
      <c r="Y270" s="1077"/>
      <c r="Z270" s="1077"/>
      <c r="AA270" s="1549"/>
      <c r="AB270" s="500"/>
      <c r="AC270" s="500"/>
      <c r="AD270" s="500"/>
      <c r="AE270" s="500"/>
      <c r="AF270" s="1558">
        <v>11</v>
      </c>
    </row>
    <row r="271" spans="1:32" s="2212" customFormat="1" ht="11.5" customHeight="1">
      <c r="A271" s="909"/>
      <c r="B271" s="1553"/>
      <c r="C271" s="1553"/>
      <c r="D271" s="285"/>
      <c r="K271" s="1077"/>
      <c r="L271" s="1553"/>
      <c r="M271" s="1553"/>
      <c r="N271" s="1077"/>
      <c r="O271" s="1077"/>
      <c r="P271" s="1077"/>
      <c r="Q271" s="1077"/>
      <c r="R271" s="1553"/>
      <c r="S271" s="1077"/>
      <c r="T271" s="1077"/>
      <c r="U271" s="478"/>
      <c r="V271" s="1077"/>
      <c r="W271" s="1077"/>
      <c r="X271" s="1077"/>
      <c r="Y271" s="1077"/>
      <c r="Z271" s="1077"/>
      <c r="AA271" s="1549"/>
      <c r="AB271" s="500"/>
      <c r="AC271" s="500"/>
      <c r="AD271" s="500"/>
      <c r="AE271" s="500"/>
      <c r="AF271" s="1558">
        <v>11</v>
      </c>
    </row>
    <row r="272" spans="1:32" s="2212" customFormat="1" ht="11.5" customHeight="1">
      <c r="A272" s="909"/>
      <c r="B272" s="1553"/>
      <c r="C272" s="1553"/>
      <c r="D272" s="285"/>
      <c r="K272" s="1077"/>
      <c r="L272" s="1553"/>
      <c r="M272" s="1553"/>
      <c r="N272" s="1077"/>
      <c r="O272" s="1077"/>
      <c r="P272" s="1077"/>
      <c r="Q272" s="1077"/>
      <c r="R272" s="1553"/>
      <c r="S272" s="1077"/>
      <c r="T272" s="1077"/>
      <c r="U272" s="478"/>
      <c r="V272" s="1077"/>
      <c r="W272" s="1077"/>
      <c r="X272" s="1077"/>
      <c r="Y272" s="1077"/>
      <c r="Z272" s="1077"/>
      <c r="AA272" s="1549"/>
      <c r="AB272" s="500"/>
      <c r="AC272" s="500"/>
      <c r="AD272" s="500"/>
      <c r="AE272" s="500"/>
      <c r="AF272" s="1558">
        <v>11</v>
      </c>
    </row>
    <row r="273" spans="1:32" s="2212" customFormat="1" ht="11.5" customHeight="1">
      <c r="A273" s="909"/>
      <c r="B273" s="1553"/>
      <c r="C273" s="1553"/>
      <c r="D273" s="285"/>
      <c r="K273" s="1077"/>
      <c r="L273" s="1553"/>
      <c r="M273" s="1553"/>
      <c r="N273" s="1077"/>
      <c r="O273" s="1077"/>
      <c r="P273" s="1077"/>
      <c r="Q273" s="1077"/>
      <c r="R273" s="1553"/>
      <c r="S273" s="1077"/>
      <c r="T273" s="1077"/>
      <c r="U273" s="478"/>
      <c r="V273" s="1077"/>
      <c r="W273" s="1077"/>
      <c r="X273" s="1077"/>
      <c r="Y273" s="1077"/>
      <c r="Z273" s="1077"/>
      <c r="AA273" s="1549"/>
      <c r="AB273" s="500"/>
      <c r="AC273" s="500"/>
      <c r="AD273" s="500"/>
      <c r="AE273" s="500"/>
      <c r="AF273" s="1558">
        <v>11</v>
      </c>
    </row>
    <row r="274" spans="1:32" s="2212" customFormat="1" ht="11.5" customHeight="1">
      <c r="A274" s="909"/>
      <c r="B274" s="1553"/>
      <c r="C274" s="1553"/>
      <c r="D274" s="285"/>
      <c r="K274" s="1077"/>
      <c r="L274" s="1553"/>
      <c r="M274" s="1553"/>
      <c r="N274" s="1077"/>
      <c r="O274" s="1077"/>
      <c r="P274" s="1077"/>
      <c r="Q274" s="1077"/>
      <c r="R274" s="1553"/>
      <c r="S274" s="1077"/>
      <c r="T274" s="1077"/>
      <c r="U274" s="478"/>
      <c r="V274" s="1077"/>
      <c r="W274" s="1077"/>
      <c r="X274" s="1077"/>
      <c r="Y274" s="1077"/>
      <c r="Z274" s="1077"/>
      <c r="AA274" s="1549"/>
      <c r="AB274" s="500"/>
      <c r="AC274" s="500"/>
      <c r="AD274" s="500"/>
      <c r="AE274" s="500"/>
      <c r="AF274" s="1558">
        <v>11</v>
      </c>
    </row>
    <row r="275" spans="1:32" s="2212" customFormat="1" ht="11.5" customHeight="1">
      <c r="A275" s="909"/>
      <c r="B275" s="1553"/>
      <c r="C275" s="1553"/>
      <c r="D275" s="285"/>
      <c r="K275" s="1077"/>
      <c r="L275" s="1553"/>
      <c r="M275" s="1553"/>
      <c r="N275" s="1077"/>
      <c r="O275" s="1077"/>
      <c r="P275" s="1077"/>
      <c r="Q275" s="1077"/>
      <c r="R275" s="1553"/>
      <c r="S275" s="1077"/>
      <c r="T275" s="1077"/>
      <c r="U275" s="478"/>
      <c r="V275" s="1077"/>
      <c r="W275" s="1077"/>
      <c r="X275" s="1077"/>
      <c r="Y275" s="1077"/>
      <c r="Z275" s="1077"/>
      <c r="AA275" s="1549"/>
      <c r="AB275" s="500"/>
      <c r="AC275" s="500"/>
      <c r="AD275" s="500"/>
      <c r="AE275" s="500"/>
      <c r="AF275" s="1558">
        <v>11</v>
      </c>
    </row>
    <row r="276" spans="1:32" s="2212" customFormat="1" ht="11.5" customHeight="1">
      <c r="A276" s="909"/>
      <c r="B276" s="1553"/>
      <c r="C276" s="1553"/>
      <c r="D276" s="285"/>
      <c r="K276" s="1077"/>
      <c r="L276" s="1553"/>
      <c r="M276" s="1553"/>
      <c r="N276" s="1077"/>
      <c r="O276" s="1077"/>
      <c r="P276" s="1077"/>
      <c r="Q276" s="1077"/>
      <c r="R276" s="1553"/>
      <c r="S276" s="1077"/>
      <c r="T276" s="1077"/>
      <c r="U276" s="478"/>
      <c r="V276" s="1077"/>
      <c r="W276" s="1077"/>
      <c r="X276" s="1077"/>
      <c r="Y276" s="1077"/>
      <c r="Z276" s="1077"/>
      <c r="AA276" s="1549"/>
      <c r="AB276" s="500"/>
      <c r="AC276" s="500"/>
      <c r="AD276" s="500"/>
      <c r="AE276" s="500"/>
      <c r="AF276" s="1558">
        <v>11</v>
      </c>
    </row>
    <row r="277" spans="1:32" s="2212" customFormat="1" ht="11.5" customHeight="1">
      <c r="A277" s="909"/>
      <c r="B277" s="1553"/>
      <c r="C277" s="1553"/>
      <c r="D277" s="285"/>
      <c r="K277" s="1077"/>
      <c r="L277" s="1553"/>
      <c r="M277" s="1553"/>
      <c r="N277" s="1077"/>
      <c r="O277" s="1077"/>
      <c r="P277" s="1077"/>
      <c r="Q277" s="1077"/>
      <c r="R277" s="1553"/>
      <c r="S277" s="1077"/>
      <c r="T277" s="1077"/>
      <c r="U277" s="478"/>
      <c r="V277" s="1077"/>
      <c r="W277" s="1077"/>
      <c r="X277" s="1077"/>
      <c r="Y277" s="1077"/>
      <c r="Z277" s="1077"/>
      <c r="AA277" s="1549"/>
      <c r="AB277" s="500"/>
      <c r="AC277" s="500"/>
      <c r="AD277" s="500"/>
      <c r="AE277" s="500"/>
      <c r="AF277" s="1558">
        <v>11</v>
      </c>
    </row>
    <row r="278" spans="1:32" s="2212" customFormat="1" ht="11.5" customHeight="1">
      <c r="A278" s="909"/>
      <c r="B278" s="1553"/>
      <c r="C278" s="1553"/>
      <c r="D278" s="285"/>
      <c r="K278" s="1077"/>
      <c r="L278" s="1553"/>
      <c r="M278" s="1553"/>
      <c r="N278" s="1077"/>
      <c r="O278" s="1077"/>
      <c r="P278" s="1077"/>
      <c r="Q278" s="1077"/>
      <c r="R278" s="1553"/>
      <c r="S278" s="1077"/>
      <c r="T278" s="1077"/>
      <c r="U278" s="478"/>
      <c r="V278" s="1077"/>
      <c r="W278" s="1077"/>
      <c r="X278" s="1077"/>
      <c r="Y278" s="1077"/>
      <c r="Z278" s="1077"/>
      <c r="AA278" s="1549"/>
      <c r="AB278" s="500"/>
      <c r="AC278" s="500"/>
      <c r="AD278" s="500"/>
      <c r="AE278" s="500"/>
      <c r="AF278" s="1558">
        <v>11</v>
      </c>
    </row>
    <row r="279" spans="1:32" s="2212" customFormat="1" ht="11.5" customHeight="1">
      <c r="A279" s="909"/>
      <c r="B279" s="1553"/>
      <c r="C279" s="1553"/>
      <c r="D279" s="285"/>
      <c r="K279" s="1077"/>
      <c r="L279" s="1553"/>
      <c r="M279" s="1553"/>
      <c r="N279" s="1077"/>
      <c r="O279" s="1077"/>
      <c r="P279" s="1077"/>
      <c r="Q279" s="1077"/>
      <c r="R279" s="1553"/>
      <c r="S279" s="1077"/>
      <c r="T279" s="1077"/>
      <c r="U279" s="478"/>
      <c r="V279" s="1077"/>
      <c r="W279" s="1077"/>
      <c r="X279" s="1077"/>
      <c r="Y279" s="1077"/>
      <c r="Z279" s="1077"/>
      <c r="AA279" s="1549"/>
      <c r="AB279" s="500"/>
      <c r="AC279" s="500"/>
      <c r="AD279" s="500"/>
      <c r="AE279" s="500"/>
      <c r="AF279" s="1558">
        <v>11</v>
      </c>
    </row>
    <row r="280" spans="1:32" s="2212" customFormat="1" ht="11.5" customHeight="1">
      <c r="A280" s="909"/>
      <c r="B280" s="1553"/>
      <c r="C280" s="1553"/>
      <c r="D280" s="285"/>
      <c r="K280" s="1077"/>
      <c r="L280" s="1553"/>
      <c r="M280" s="1553"/>
      <c r="N280" s="1077"/>
      <c r="O280" s="1077"/>
      <c r="P280" s="1077"/>
      <c r="Q280" s="1077"/>
      <c r="R280" s="1553"/>
      <c r="S280" s="1077"/>
      <c r="T280" s="1077"/>
      <c r="U280" s="478"/>
      <c r="V280" s="1077"/>
      <c r="W280" s="1077"/>
      <c r="X280" s="1077"/>
      <c r="Y280" s="1077"/>
      <c r="Z280" s="1077"/>
      <c r="AA280" s="1549"/>
      <c r="AB280" s="500"/>
      <c r="AC280" s="500"/>
      <c r="AD280" s="500"/>
      <c r="AE280" s="500"/>
      <c r="AF280" s="1558">
        <v>11</v>
      </c>
    </row>
    <row r="281" spans="1:32" s="2212" customFormat="1" ht="11.5" customHeight="1">
      <c r="A281" s="909"/>
      <c r="B281" s="1553"/>
      <c r="C281" s="1553"/>
      <c r="D281" s="285"/>
      <c r="K281" s="1077"/>
      <c r="L281" s="1553"/>
      <c r="M281" s="1553"/>
      <c r="N281" s="1077"/>
      <c r="O281" s="1077"/>
      <c r="P281" s="1077"/>
      <c r="Q281" s="1077"/>
      <c r="R281" s="1553"/>
      <c r="S281" s="1077"/>
      <c r="T281" s="1077"/>
      <c r="U281" s="478"/>
      <c r="V281" s="1077"/>
      <c r="W281" s="1077"/>
      <c r="X281" s="1077"/>
      <c r="Y281" s="1077"/>
      <c r="Z281" s="1077"/>
      <c r="AA281" s="1549"/>
      <c r="AB281" s="500"/>
      <c r="AC281" s="500"/>
      <c r="AD281" s="500"/>
      <c r="AE281" s="500"/>
      <c r="AF281" s="1558">
        <v>11</v>
      </c>
    </row>
    <row r="282" spans="1:32" s="2212" customFormat="1" ht="11.5" customHeight="1">
      <c r="A282" s="909"/>
      <c r="B282" s="1553"/>
      <c r="C282" s="1553"/>
      <c r="D282" s="285"/>
      <c r="K282" s="1077"/>
      <c r="L282" s="1553"/>
      <c r="M282" s="1553"/>
      <c r="N282" s="1077"/>
      <c r="O282" s="1077"/>
      <c r="P282" s="1077"/>
      <c r="Q282" s="1077"/>
      <c r="R282" s="1553"/>
      <c r="S282" s="1077"/>
      <c r="T282" s="1077"/>
      <c r="U282" s="478"/>
      <c r="V282" s="1077"/>
      <c r="W282" s="1077"/>
      <c r="X282" s="1077"/>
      <c r="Y282" s="1077"/>
      <c r="Z282" s="1077"/>
      <c r="AA282" s="1549"/>
      <c r="AB282" s="500"/>
      <c r="AC282" s="500"/>
      <c r="AD282" s="500"/>
      <c r="AE282" s="500"/>
      <c r="AF282" s="1558">
        <v>11</v>
      </c>
    </row>
    <row r="283" spans="1:32" s="2212" customFormat="1" ht="11.5" customHeight="1">
      <c r="A283" s="909"/>
      <c r="B283" s="1553"/>
      <c r="C283" s="1553"/>
      <c r="D283" s="285"/>
      <c r="K283" s="1077"/>
      <c r="L283" s="1553"/>
      <c r="M283" s="1553"/>
      <c r="N283" s="1077"/>
      <c r="O283" s="1077"/>
      <c r="P283" s="1077"/>
      <c r="Q283" s="1077"/>
      <c r="R283" s="1553"/>
      <c r="S283" s="1077"/>
      <c r="T283" s="1077"/>
      <c r="U283" s="478"/>
      <c r="V283" s="1077"/>
      <c r="W283" s="1077"/>
      <c r="X283" s="1077"/>
      <c r="Y283" s="1077"/>
      <c r="Z283" s="1077"/>
      <c r="AA283" s="1549"/>
      <c r="AB283" s="500"/>
      <c r="AC283" s="500"/>
      <c r="AD283" s="500"/>
      <c r="AE283" s="500"/>
      <c r="AF283" s="1558">
        <v>11</v>
      </c>
    </row>
    <row r="284" spans="1:32" s="2212" customFormat="1" ht="11.5" customHeight="1">
      <c r="A284" s="909"/>
      <c r="B284" s="1553"/>
      <c r="C284" s="1553"/>
      <c r="D284" s="285"/>
      <c r="K284" s="1077"/>
      <c r="L284" s="1553"/>
      <c r="M284" s="1553"/>
      <c r="N284" s="1077"/>
      <c r="O284" s="1077"/>
      <c r="P284" s="1077"/>
      <c r="Q284" s="1077"/>
      <c r="R284" s="1553"/>
      <c r="S284" s="1077"/>
      <c r="T284" s="1077"/>
      <c r="U284" s="478"/>
      <c r="V284" s="1077"/>
      <c r="W284" s="1077"/>
      <c r="X284" s="1077"/>
      <c r="Y284" s="1077"/>
      <c r="Z284" s="1077"/>
      <c r="AA284" s="1549"/>
      <c r="AB284" s="500"/>
      <c r="AC284" s="500"/>
      <c r="AD284" s="500"/>
      <c r="AE284" s="500"/>
      <c r="AF284" s="1558">
        <v>11</v>
      </c>
    </row>
    <row r="285" spans="1:32" s="2212" customFormat="1" ht="11.5" customHeight="1">
      <c r="A285" s="909"/>
      <c r="B285" s="1553"/>
      <c r="C285" s="1553"/>
      <c r="D285" s="285"/>
      <c r="K285" s="1077"/>
      <c r="L285" s="1553"/>
      <c r="M285" s="1553"/>
      <c r="N285" s="1077"/>
      <c r="O285" s="1077"/>
      <c r="P285" s="1077"/>
      <c r="Q285" s="1077"/>
      <c r="R285" s="1553"/>
      <c r="S285" s="1077"/>
      <c r="T285" s="1077"/>
      <c r="U285" s="478"/>
      <c r="V285" s="1077"/>
      <c r="W285" s="1077"/>
      <c r="X285" s="1077"/>
      <c r="Y285" s="1077"/>
      <c r="Z285" s="1077"/>
      <c r="AA285" s="1549"/>
      <c r="AB285" s="500"/>
      <c r="AC285" s="500"/>
      <c r="AD285" s="500"/>
      <c r="AE285" s="500"/>
      <c r="AF285" s="1558">
        <v>11</v>
      </c>
    </row>
    <row r="286" spans="1:32" s="2212" customFormat="1" ht="11.5" customHeight="1">
      <c r="A286" s="909"/>
      <c r="B286" s="1553"/>
      <c r="C286" s="1553"/>
      <c r="D286" s="285"/>
      <c r="K286" s="1077"/>
      <c r="L286" s="1553"/>
      <c r="M286" s="1553"/>
      <c r="N286" s="1077"/>
      <c r="O286" s="1077"/>
      <c r="P286" s="1077"/>
      <c r="Q286" s="1077"/>
      <c r="R286" s="1553"/>
      <c r="S286" s="1077"/>
      <c r="T286" s="1077"/>
      <c r="U286" s="478"/>
      <c r="V286" s="1077"/>
      <c r="W286" s="1077"/>
      <c r="X286" s="1077"/>
      <c r="Y286" s="1077"/>
      <c r="Z286" s="1077"/>
      <c r="AA286" s="1549"/>
      <c r="AB286" s="500"/>
      <c r="AC286" s="500"/>
      <c r="AD286" s="500"/>
      <c r="AE286" s="500"/>
      <c r="AF286" s="1558">
        <v>11</v>
      </c>
    </row>
    <row r="287" spans="1:32" s="2212" customFormat="1" ht="11.5" customHeight="1">
      <c r="A287" s="909"/>
      <c r="B287" s="1553"/>
      <c r="C287" s="1553"/>
      <c r="D287" s="285"/>
      <c r="K287" s="1077"/>
      <c r="L287" s="1553"/>
      <c r="M287" s="1553"/>
      <c r="N287" s="1077"/>
      <c r="O287" s="1077"/>
      <c r="P287" s="1077"/>
      <c r="Q287" s="1077"/>
      <c r="R287" s="1553"/>
      <c r="S287" s="1077"/>
      <c r="T287" s="1077"/>
      <c r="U287" s="478"/>
      <c r="V287" s="1077"/>
      <c r="W287" s="1077"/>
      <c r="X287" s="1077"/>
      <c r="Y287" s="1077"/>
      <c r="Z287" s="1077"/>
      <c r="AA287" s="1549"/>
      <c r="AB287" s="500"/>
      <c r="AC287" s="500"/>
      <c r="AD287" s="500"/>
      <c r="AE287" s="500"/>
      <c r="AF287" s="1558">
        <v>11</v>
      </c>
    </row>
    <row r="288" spans="1:32" s="2212" customFormat="1" ht="11.5" customHeight="1">
      <c r="A288" s="909"/>
      <c r="B288" s="1553"/>
      <c r="C288" s="1553"/>
      <c r="D288" s="285"/>
      <c r="K288" s="1077"/>
      <c r="L288" s="1553"/>
      <c r="M288" s="1553"/>
      <c r="N288" s="1077"/>
      <c r="O288" s="1077"/>
      <c r="P288" s="1077"/>
      <c r="Q288" s="1077"/>
      <c r="R288" s="1553"/>
      <c r="S288" s="1077"/>
      <c r="T288" s="1077"/>
      <c r="U288" s="478"/>
      <c r="V288" s="1077"/>
      <c r="W288" s="1077"/>
      <c r="X288" s="1077"/>
      <c r="Y288" s="1077"/>
      <c r="Z288" s="1077"/>
      <c r="AA288" s="1549"/>
      <c r="AB288" s="500"/>
      <c r="AC288" s="500"/>
      <c r="AD288" s="500"/>
      <c r="AE288" s="500"/>
      <c r="AF288" s="1558">
        <v>11</v>
      </c>
    </row>
    <row r="289" spans="1:32" ht="11.5" customHeight="1">
      <c r="AF289" s="1548">
        <v>11</v>
      </c>
    </row>
    <row r="290" spans="1:32" ht="11.5" customHeight="1">
      <c r="AF290" s="1548">
        <v>11</v>
      </c>
    </row>
    <row r="291" spans="1:32" ht="11.5" customHeight="1">
      <c r="AF291" s="1548">
        <v>11</v>
      </c>
    </row>
    <row r="292" spans="1:32" ht="11.5" customHeight="1">
      <c r="A292" s="912"/>
      <c r="B292" s="1548"/>
      <c r="D292" s="1548"/>
      <c r="K292" s="1548"/>
      <c r="N292" s="1548"/>
      <c r="O292" s="1548"/>
      <c r="P292" s="1548"/>
      <c r="Q292" s="1548"/>
      <c r="S292" s="1548"/>
      <c r="T292" s="1548"/>
      <c r="U292" s="1548"/>
      <c r="V292" s="1548"/>
      <c r="W292" s="1548"/>
      <c r="X292" s="1548"/>
      <c r="Y292" s="1548"/>
      <c r="Z292" s="1548"/>
      <c r="AA292" s="1548"/>
      <c r="AB292" s="1548"/>
      <c r="AC292" s="1548"/>
      <c r="AD292" s="1548"/>
      <c r="AE292" s="1548"/>
      <c r="AF292" s="1548">
        <v>11</v>
      </c>
    </row>
    <row r="293" spans="1:32" ht="11.5" customHeight="1">
      <c r="A293" s="912"/>
      <c r="B293" s="1548"/>
      <c r="D293" s="1548"/>
      <c r="K293" s="1548"/>
      <c r="N293" s="1548"/>
      <c r="O293" s="1548"/>
      <c r="P293" s="1548"/>
      <c r="Q293" s="1548"/>
      <c r="S293" s="1548"/>
      <c r="T293" s="1548"/>
      <c r="U293" s="1548"/>
      <c r="V293" s="1548"/>
      <c r="W293" s="1548"/>
      <c r="X293" s="1548"/>
      <c r="Y293" s="1548"/>
      <c r="Z293" s="1548"/>
      <c r="AA293" s="1548"/>
      <c r="AB293" s="1548"/>
      <c r="AC293" s="1548"/>
      <c r="AD293" s="1548"/>
      <c r="AE293" s="1548"/>
      <c r="AF293" s="1548">
        <v>11</v>
      </c>
    </row>
    <row r="294" spans="1:32" ht="11.5" customHeight="1">
      <c r="A294" s="912"/>
      <c r="B294" s="1548"/>
      <c r="D294" s="1548"/>
      <c r="K294" s="1548"/>
      <c r="N294" s="1548"/>
      <c r="O294" s="1548"/>
      <c r="P294" s="1548"/>
      <c r="Q294" s="1548"/>
      <c r="S294" s="1548"/>
      <c r="T294" s="1548"/>
      <c r="U294" s="1548"/>
      <c r="V294" s="1548"/>
      <c r="W294" s="1548"/>
      <c r="X294" s="1548"/>
      <c r="Y294" s="1548"/>
      <c r="Z294" s="1548"/>
      <c r="AA294" s="1548"/>
      <c r="AB294" s="1548"/>
      <c r="AC294" s="1548"/>
      <c r="AD294" s="1548"/>
      <c r="AE294" s="1548"/>
      <c r="AF294" s="1548">
        <v>11</v>
      </c>
    </row>
    <row r="295" spans="1:32" ht="11.5" customHeight="1">
      <c r="A295" s="912"/>
      <c r="B295" s="1548"/>
      <c r="D295" s="1548"/>
      <c r="K295" s="1548"/>
      <c r="N295" s="1548"/>
      <c r="O295" s="1548"/>
      <c r="P295" s="1548"/>
      <c r="Q295" s="1548"/>
      <c r="S295" s="1548"/>
      <c r="T295" s="1548"/>
      <c r="U295" s="1548"/>
      <c r="V295" s="1548"/>
      <c r="W295" s="1548"/>
      <c r="X295" s="1548"/>
      <c r="Y295" s="1548"/>
      <c r="Z295" s="1548"/>
      <c r="AA295" s="1548"/>
      <c r="AB295" s="1548"/>
      <c r="AC295" s="1548"/>
      <c r="AD295" s="1548"/>
      <c r="AE295" s="1548"/>
      <c r="AF295" s="1548">
        <v>11</v>
      </c>
    </row>
    <row r="296" spans="1:32" ht="11.5" customHeight="1">
      <c r="A296" s="912"/>
      <c r="B296" s="1548"/>
      <c r="D296" s="1548"/>
      <c r="K296" s="1548"/>
      <c r="N296" s="1548"/>
      <c r="O296" s="1548"/>
      <c r="P296" s="1548"/>
      <c r="Q296" s="1548"/>
      <c r="S296" s="1548"/>
      <c r="T296" s="1548"/>
      <c r="U296" s="1548"/>
      <c r="V296" s="1548"/>
      <c r="W296" s="1548"/>
      <c r="X296" s="1548"/>
      <c r="Y296" s="1548"/>
      <c r="Z296" s="1548"/>
      <c r="AA296" s="1548"/>
      <c r="AB296" s="1548"/>
      <c r="AC296" s="1548"/>
      <c r="AD296" s="1548"/>
      <c r="AE296" s="1548"/>
      <c r="AF296" s="1548">
        <v>11</v>
      </c>
    </row>
    <row r="297" spans="1:32" ht="11.5" customHeight="1">
      <c r="A297" s="912"/>
      <c r="B297" s="1548"/>
      <c r="D297" s="1548"/>
      <c r="K297" s="1548"/>
      <c r="N297" s="1548"/>
      <c r="O297" s="1548"/>
      <c r="P297" s="1548"/>
      <c r="Q297" s="1548"/>
      <c r="S297" s="1548"/>
      <c r="T297" s="1548"/>
      <c r="U297" s="1548"/>
      <c r="V297" s="1548"/>
      <c r="W297" s="1548"/>
      <c r="X297" s="1548"/>
      <c r="Y297" s="1548"/>
      <c r="Z297" s="1548"/>
      <c r="AA297" s="1548"/>
      <c r="AB297" s="1548"/>
      <c r="AC297" s="1548"/>
      <c r="AD297" s="1548"/>
      <c r="AE297" s="1548"/>
      <c r="AF297" s="1548">
        <v>11</v>
      </c>
    </row>
    <row r="298" spans="1:32" ht="11.5" customHeight="1">
      <c r="A298" s="912"/>
      <c r="B298" s="1548"/>
      <c r="D298" s="1548"/>
      <c r="K298" s="1548"/>
      <c r="N298" s="1548"/>
      <c r="O298" s="1548"/>
      <c r="P298" s="1548"/>
      <c r="Q298" s="1548"/>
      <c r="S298" s="1548"/>
      <c r="T298" s="1548"/>
      <c r="U298" s="1548"/>
      <c r="V298" s="1548"/>
      <c r="W298" s="1548"/>
      <c r="X298" s="1548"/>
      <c r="Y298" s="1548"/>
      <c r="Z298" s="1548"/>
      <c r="AA298" s="1548"/>
      <c r="AB298" s="1548"/>
      <c r="AC298" s="1548"/>
      <c r="AD298" s="1548"/>
      <c r="AE298" s="1548"/>
      <c r="AF298" s="1548">
        <v>11</v>
      </c>
    </row>
    <row r="299" spans="1:32" ht="11.5" customHeight="1">
      <c r="A299" s="912"/>
      <c r="B299" s="1548"/>
      <c r="D299" s="1548"/>
      <c r="K299" s="1548"/>
      <c r="N299" s="1548"/>
      <c r="O299" s="1548"/>
      <c r="P299" s="1548"/>
      <c r="Q299" s="1548"/>
      <c r="S299" s="1548"/>
      <c r="T299" s="1548"/>
      <c r="U299" s="1548"/>
      <c r="V299" s="1548"/>
      <c r="W299" s="1548"/>
      <c r="X299" s="1548"/>
      <c r="Y299" s="1548"/>
      <c r="Z299" s="1548"/>
      <c r="AA299" s="1548"/>
      <c r="AB299" s="1548"/>
      <c r="AC299" s="1548"/>
      <c r="AD299" s="1548"/>
      <c r="AE299" s="1548"/>
      <c r="AF299" s="1548">
        <v>11</v>
      </c>
    </row>
    <row r="300" spans="1:32" ht="11.5" customHeight="1">
      <c r="A300" s="912"/>
      <c r="B300" s="1548"/>
      <c r="D300" s="1548"/>
      <c r="K300" s="1548"/>
      <c r="N300" s="1548"/>
      <c r="O300" s="1548"/>
      <c r="P300" s="1548"/>
      <c r="Q300" s="1548"/>
      <c r="S300" s="1548"/>
      <c r="T300" s="1548"/>
      <c r="U300" s="1548"/>
      <c r="V300" s="1548"/>
      <c r="W300" s="1548"/>
      <c r="X300" s="1548"/>
      <c r="Y300" s="1548"/>
      <c r="Z300" s="1548"/>
      <c r="AA300" s="1548"/>
      <c r="AB300" s="1548"/>
      <c r="AC300" s="1548"/>
      <c r="AD300" s="1548"/>
      <c r="AE300" s="1548"/>
      <c r="AF300" s="1548">
        <v>11</v>
      </c>
    </row>
    <row r="301" spans="1:32" ht="11.5" customHeight="1">
      <c r="A301" s="912"/>
      <c r="B301" s="1548"/>
      <c r="D301" s="1548"/>
      <c r="K301" s="1548"/>
      <c r="N301" s="1548"/>
      <c r="O301" s="1548"/>
      <c r="P301" s="1548"/>
      <c r="Q301" s="1548"/>
      <c r="S301" s="1548"/>
      <c r="T301" s="1548"/>
      <c r="U301" s="1548"/>
      <c r="V301" s="1548"/>
      <c r="W301" s="1548"/>
      <c r="X301" s="1548"/>
      <c r="Y301" s="1548"/>
      <c r="Z301" s="1548"/>
      <c r="AA301" s="1548"/>
      <c r="AB301" s="1548"/>
      <c r="AC301" s="1548"/>
      <c r="AD301" s="1548"/>
      <c r="AE301" s="1548"/>
      <c r="AF301" s="1548">
        <v>11</v>
      </c>
    </row>
    <row r="302" spans="1:32" ht="11.5" customHeight="1">
      <c r="A302" s="912"/>
      <c r="B302" s="1548"/>
      <c r="D302" s="1548"/>
      <c r="K302" s="1548"/>
      <c r="N302" s="1548"/>
      <c r="O302" s="1548"/>
      <c r="P302" s="1548"/>
      <c r="Q302" s="1548"/>
      <c r="S302" s="1548"/>
      <c r="T302" s="1548"/>
      <c r="U302" s="1548"/>
      <c r="V302" s="1548"/>
      <c r="W302" s="1548"/>
      <c r="X302" s="1548"/>
      <c r="Y302" s="1548"/>
      <c r="Z302" s="1548"/>
      <c r="AA302" s="1548"/>
      <c r="AB302" s="1548"/>
      <c r="AC302" s="1548"/>
      <c r="AD302" s="1548"/>
      <c r="AE302" s="1548"/>
      <c r="AF302" s="1548">
        <v>11</v>
      </c>
    </row>
    <row r="303" spans="1:32" ht="11.25" hidden="1" customHeight="1">
      <c r="A303" s="909" t="s">
        <v>83</v>
      </c>
      <c r="B303" s="1077">
        <v>0</v>
      </c>
      <c r="C303" s="1553">
        <v>0</v>
      </c>
      <c r="D303" s="1552">
        <v>3</v>
      </c>
      <c r="E303" s="1548">
        <v>7</v>
      </c>
      <c r="F303" s="1548">
        <v>54</v>
      </c>
      <c r="G303" s="1548">
        <v>10</v>
      </c>
      <c r="H303" s="1548">
        <v>0</v>
      </c>
      <c r="I303" s="1548">
        <v>40</v>
      </c>
      <c r="J303" s="1548">
        <v>102</v>
      </c>
      <c r="K303" s="1077">
        <v>9</v>
      </c>
      <c r="L303" s="1553">
        <v>5</v>
      </c>
      <c r="M303" s="1553">
        <v>3</v>
      </c>
      <c r="N303" s="1077">
        <v>3</v>
      </c>
      <c r="O303" s="1077">
        <v>3</v>
      </c>
      <c r="P303" s="1077">
        <v>3</v>
      </c>
      <c r="Q303" s="1077">
        <v>3</v>
      </c>
      <c r="R303" s="1553">
        <v>10</v>
      </c>
      <c r="S303" s="1077">
        <v>34</v>
      </c>
      <c r="T303" s="1077">
        <v>9</v>
      </c>
      <c r="U303" s="478">
        <v>8</v>
      </c>
      <c r="V303" s="1077">
        <v>8</v>
      </c>
      <c r="W303" s="1077">
        <v>8</v>
      </c>
      <c r="X303" s="1077">
        <v>8</v>
      </c>
      <c r="Y303" s="1077">
        <v>8</v>
      </c>
      <c r="Z303" s="1077">
        <v>8</v>
      </c>
      <c r="AA303" s="1549">
        <v>8</v>
      </c>
      <c r="AB303" s="1549">
        <v>8</v>
      </c>
      <c r="AC303" s="1549">
        <v>8</v>
      </c>
      <c r="AD303" s="1549">
        <v>8</v>
      </c>
      <c r="AE303" s="1549">
        <v>8</v>
      </c>
      <c r="AF303" s="1548">
        <v>11</v>
      </c>
    </row>
  </sheetData>
  <sheetProtection formatColumns="0" formatRows="0" insertRows="0" deleteColumns="0" deleteRows="0" sort="0" autoFilter="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xr:uid="{00000000-0002-0000-2000-000000000000}">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xr:uid="{00000000-0002-0000-2000-000001000000}">
      <formula1>900</formula1>
    </dataValidation>
    <dataValidation type="textLength" operator="lessThanOrEqual" allowBlank="1" showInputMessage="1" showErrorMessage="1" errorTitle="Ошибка" error="Допускается ввод не более 900 символов!" sqref="G4 H34:I34 H39:I39" xr:uid="{00000000-0002-0000-2000-000002000000}">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xr:uid="{00000000-0002-0000-2000-000003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A1:XFD1" xr:uid="{00000000-0002-0000-2000-000004000000}">
      <formula1>900</formula1>
    </dataValidation>
    <dataValidation type="list" allowBlank="1" showInputMessage="1" showErrorMessage="1" errorTitle="Ошибка" error="Выберите значение из списка" prompt="Выберите значение из списка" sqref="F2" xr:uid="{00000000-0002-0000-2000-000005000000}">
      <formula1>kind_of_fuels</formula1>
    </dataValidation>
    <dataValidation type="list" allowBlank="1" showInputMessage="1" showErrorMessage="1" errorTitle="Ошибка" error="Выберите значение из списка" prompt="Выберите значение из списка" sqref="G93" xr:uid="{00000000-0002-0000-2000-000006000000}">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xr:uid="{00000000-0002-0000-2000-000007000000}">
      <formula1>900</formula1>
    </dataValidation>
    <dataValidation type="decimal" allowBlank="1" showErrorMessage="1" errorTitle="Ошибка" error="Допускается ввод только действительных чисел!" sqref="H72:I73" xr:uid="{00000000-0002-0000-2000-000008000000}">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xr:uid="{00000000-0002-0000-2000-000009000000}">
      <formula1>-9.99999999999999E+37</formula1>
      <formula2>9.99999999999999E+37</formula2>
    </dataValidation>
    <dataValidation type="decimal" allowBlank="1" showErrorMessage="1" errorTitle="Ошибка" error="Введите значение от 0 до 100%" sqref="H90:I90 H95:I95" xr:uid="{00000000-0002-0000-2000-00000A000000}">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xr:uid="{00000000-0002-0000-2000-00000B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A8C387-77A4-5BBE-5CA1-D74D5DD94584}">
  <sheetPr>
    <tabColor theme="9" tint="-0.249977111117893"/>
  </sheetPr>
  <dimension ref="A1:CF29"/>
  <sheetViews>
    <sheetView showGridLines="0" topLeftCell="C4" zoomScale="90" workbookViewId="0"/>
  </sheetViews>
  <sheetFormatPr defaultColWidth="9.09765625" defaultRowHeight="11.25" customHeight="1"/>
  <cols>
    <col min="1" max="1" width="14.69921875" style="2984" hidden="1" customWidth="1"/>
    <col min="2" max="2" width="17" style="2002" hidden="1" customWidth="1"/>
    <col min="3" max="3" width="3" style="2004" customWidth="1"/>
    <col min="4" max="4" width="1.796875" style="2004" hidden="1" customWidth="1"/>
    <col min="5" max="6" width="7" style="2004" customWidth="1"/>
    <col min="7" max="7" width="29" style="2004" customWidth="1"/>
    <col min="8" max="8" width="3.69921875" style="2004" customWidth="1"/>
    <col min="9" max="9" width="5" style="2004" customWidth="1"/>
    <col min="10" max="11" width="24" style="2004" customWidth="1"/>
    <col min="12" max="12" width="3" style="2004" customWidth="1"/>
    <col min="13" max="13" width="6" style="2004" customWidth="1"/>
    <col min="14" max="14" width="25" style="2004" customWidth="1"/>
    <col min="15" max="18" width="18" style="2004" customWidth="1"/>
    <col min="19" max="19" width="93" style="2004" customWidth="1"/>
    <col min="20" max="20" width="10" style="2004" customWidth="1"/>
    <col min="21" max="21" width="10" style="2017" customWidth="1"/>
    <col min="22" max="22" width="11" style="2017" customWidth="1"/>
    <col min="23" max="27" width="10" style="2002" customWidth="1"/>
    <col min="28" max="83" width="8" style="2004" customWidth="1"/>
    <col min="84" max="84" width="9.09765625" style="2004" hidden="1"/>
  </cols>
  <sheetData>
    <row r="1" spans="1:84" ht="22.5" hidden="1" customHeight="1">
      <c r="CF1" s="439" t="s">
        <v>14</v>
      </c>
    </row>
    <row r="2" spans="1:84" ht="11.25" hidden="1" customHeight="1">
      <c r="CF2" s="439">
        <v>0</v>
      </c>
    </row>
    <row r="3" spans="1:84" ht="11.25" hidden="1" customHeight="1">
      <c r="CF3" s="439">
        <v>0</v>
      </c>
    </row>
    <row r="4" spans="1:84" ht="3" customHeight="1">
      <c r="C4" s="443"/>
      <c r="D4" s="443"/>
      <c r="E4" s="443"/>
      <c r="F4" s="443"/>
      <c r="G4" s="443"/>
      <c r="H4" s="443"/>
      <c r="I4" s="443"/>
      <c r="J4" s="443"/>
      <c r="K4" s="101"/>
      <c r="L4" s="101"/>
      <c r="M4" s="101"/>
      <c r="CF4" s="439">
        <v>3</v>
      </c>
    </row>
    <row r="5" spans="1:84" ht="29.25" customHeight="1">
      <c r="C5" s="443"/>
      <c r="D5" s="978"/>
      <c r="E5" s="3183" t="str">
        <f>FHD20_NAME_FORM</f>
        <v>Форма 11. Информация о расходах на капитальный и текущий ремонт основных средств</v>
      </c>
      <c r="F5" s="3183"/>
      <c r="G5" s="3183"/>
      <c r="H5" s="3183"/>
      <c r="I5" s="3183"/>
      <c r="J5" s="3183"/>
      <c r="K5" s="3183"/>
      <c r="L5" s="547"/>
      <c r="M5" s="547"/>
      <c r="CF5" s="439">
        <v>28</v>
      </c>
    </row>
    <row r="6" spans="1:84" s="2004" customFormat="1" ht="16.75" customHeight="1">
      <c r="A6" s="544"/>
      <c r="B6" s="691"/>
      <c r="C6" s="443"/>
      <c r="D6" s="979"/>
      <c r="E6" s="3131" t="str">
        <f>IF(org=0,"Не определено",org)</f>
        <v>ООО "РСО"</v>
      </c>
      <c r="F6" s="3131"/>
      <c r="G6" s="3131"/>
      <c r="H6" s="3131"/>
      <c r="I6" s="3131"/>
      <c r="J6" s="3131"/>
      <c r="K6" s="3131"/>
      <c r="L6" s="547"/>
      <c r="M6" s="547"/>
      <c r="U6" s="545"/>
      <c r="V6" s="545"/>
      <c r="W6" s="546"/>
      <c r="X6" s="691"/>
      <c r="Y6" s="691"/>
      <c r="Z6" s="691"/>
      <c r="AA6" s="691"/>
      <c r="CF6" s="690">
        <v>16</v>
      </c>
    </row>
    <row r="7" spans="1:84" ht="11.5" customHeight="1">
      <c r="C7" s="443"/>
      <c r="D7" s="443"/>
      <c r="E7" s="443"/>
      <c r="F7" s="443"/>
      <c r="G7" s="456"/>
      <c r="H7" s="456"/>
      <c r="I7" s="456"/>
      <c r="J7" s="456"/>
      <c r="K7" s="548"/>
      <c r="L7" s="548"/>
      <c r="M7" s="548"/>
      <c r="R7" s="686"/>
      <c r="CF7" s="439">
        <v>11</v>
      </c>
    </row>
    <row r="8" spans="1:84" s="2212" customFormat="1" ht="4.25" customHeight="1">
      <c r="A8" s="555"/>
      <c r="B8" s="500"/>
      <c r="C8" s="285"/>
      <c r="D8" s="285"/>
      <c r="E8" s="285"/>
      <c r="F8" s="285"/>
      <c r="G8" s="898"/>
      <c r="H8" s="898"/>
      <c r="I8" s="898"/>
      <c r="J8" s="898"/>
      <c r="K8" s="939"/>
      <c r="L8" s="939"/>
      <c r="M8" s="939"/>
      <c r="R8" s="940"/>
      <c r="U8" s="545"/>
      <c r="V8" s="545"/>
      <c r="W8" s="556"/>
      <c r="X8" s="500"/>
      <c r="Y8" s="500"/>
      <c r="Z8" s="500"/>
      <c r="AA8" s="500"/>
      <c r="CF8" s="430">
        <v>4</v>
      </c>
    </row>
    <row r="9" spans="1:84" ht="20" customHeight="1">
      <c r="D9" s="224"/>
      <c r="E9" s="3038" t="s">
        <v>335</v>
      </c>
      <c r="F9" s="3044"/>
      <c r="G9" s="3044"/>
      <c r="H9" s="3044"/>
      <c r="I9" s="3044"/>
      <c r="J9" s="3044"/>
      <c r="K9" s="3044"/>
      <c r="L9" s="3044"/>
      <c r="M9" s="3044"/>
      <c r="N9" s="3044"/>
      <c r="O9" s="3044"/>
      <c r="P9" s="3044"/>
      <c r="Q9" s="3044"/>
      <c r="R9" s="3037"/>
      <c r="S9" s="3067" t="s">
        <v>336</v>
      </c>
      <c r="T9" s="269"/>
      <c r="CF9" s="439">
        <v>19</v>
      </c>
    </row>
    <row r="10" spans="1:84" ht="48.25" customHeight="1">
      <c r="D10" s="485" t="s">
        <v>89</v>
      </c>
      <c r="E10" s="3067" t="s">
        <v>89</v>
      </c>
      <c r="F10" s="3067"/>
      <c r="G10" s="455" t="s">
        <v>337</v>
      </c>
      <c r="H10" s="3067" t="s">
        <v>89</v>
      </c>
      <c r="I10" s="3067"/>
      <c r="J10" s="455" t="s">
        <v>635</v>
      </c>
      <c r="K10" s="455" t="s">
        <v>636</v>
      </c>
      <c r="L10" s="3067" t="s">
        <v>89</v>
      </c>
      <c r="M10" s="3067"/>
      <c r="N10" s="455" t="s">
        <v>637</v>
      </c>
      <c r="O10" s="455" t="s">
        <v>638</v>
      </c>
      <c r="P10" s="455" t="s">
        <v>639</v>
      </c>
      <c r="Q10" s="455" t="s">
        <v>640</v>
      </c>
      <c r="R10" s="455" t="s">
        <v>641</v>
      </c>
      <c r="S10" s="3067"/>
      <c r="T10" s="269"/>
      <c r="CF10" s="439">
        <v>46</v>
      </c>
    </row>
    <row r="11" spans="1:84" s="2017" customFormat="1" ht="15" hidden="1" customHeight="1">
      <c r="A11" s="973"/>
      <c r="D11" s="946" t="s">
        <v>124</v>
      </c>
      <c r="E11" s="946"/>
      <c r="F11" s="946" t="s">
        <v>104</v>
      </c>
      <c r="G11" s="946" t="s">
        <v>91</v>
      </c>
      <c r="H11" s="946"/>
      <c r="I11" s="946" t="s">
        <v>92</v>
      </c>
      <c r="J11" s="946" t="s">
        <v>125</v>
      </c>
      <c r="K11" s="946" t="s">
        <v>93</v>
      </c>
      <c r="L11" s="946"/>
      <c r="M11" s="946" t="s">
        <v>94</v>
      </c>
      <c r="N11" s="946" t="s">
        <v>126</v>
      </c>
      <c r="O11" s="946" t="s">
        <v>107</v>
      </c>
      <c r="P11" s="946" t="s">
        <v>162</v>
      </c>
      <c r="Q11" s="946" t="s">
        <v>163</v>
      </c>
      <c r="R11" s="946" t="s">
        <v>164</v>
      </c>
      <c r="S11" s="946" t="s">
        <v>165</v>
      </c>
      <c r="U11" s="545"/>
      <c r="V11" s="545"/>
      <c r="W11" s="545"/>
      <c r="CF11" s="445">
        <v>0</v>
      </c>
    </row>
    <row r="12" spans="1:84" s="2004" customFormat="1" ht="1" customHeight="1">
      <c r="A12" s="549"/>
      <c r="B12" s="296"/>
      <c r="D12" s="482"/>
      <c r="E12" s="281"/>
      <c r="F12" s="281"/>
      <c r="Q12" s="550"/>
      <c r="R12" s="551"/>
      <c r="T12" s="552"/>
      <c r="U12" s="553"/>
      <c r="V12" s="553"/>
      <c r="W12" s="554"/>
      <c r="X12" s="296"/>
      <c r="Y12" s="296"/>
      <c r="Z12" s="296"/>
      <c r="AA12" s="296"/>
      <c r="CF12" s="443">
        <v>1</v>
      </c>
    </row>
    <row r="13" spans="1:84" s="2212" customFormat="1" ht="1" customHeight="1">
      <c r="A13" s="555"/>
      <c r="B13" s="500"/>
      <c r="D13" s="482" t="s">
        <v>411</v>
      </c>
      <c r="E13" s="494"/>
      <c r="F13" s="494"/>
      <c r="G13" s="494"/>
      <c r="H13" s="494"/>
      <c r="I13" s="494"/>
      <c r="J13" s="494"/>
      <c r="K13" s="494"/>
      <c r="L13" s="494"/>
      <c r="M13" s="494"/>
      <c r="N13" s="494"/>
      <c r="O13" s="494"/>
      <c r="P13" s="494"/>
      <c r="Q13" s="494"/>
      <c r="R13" s="494"/>
      <c r="T13" s="269"/>
      <c r="U13" s="545"/>
      <c r="V13" s="545"/>
      <c r="W13" s="556"/>
      <c r="X13" s="500"/>
      <c r="Y13" s="500"/>
      <c r="Z13" s="500"/>
      <c r="AA13" s="500"/>
      <c r="CF13" s="430">
        <v>1</v>
      </c>
    </row>
    <row r="14" spans="1:84" s="2021" customFormat="1" ht="15" hidden="1" customHeight="1">
      <c r="A14" s="557" t="s">
        <v>131</v>
      </c>
      <c r="B14" s="558"/>
      <c r="C14" s="558"/>
      <c r="D14" s="3293" t="s">
        <v>124</v>
      </c>
      <c r="E14" s="3290" t="s">
        <v>120</v>
      </c>
      <c r="F14" s="3291"/>
      <c r="G14" s="3292"/>
      <c r="H14" s="3296">
        <f>IF(A14="","",INDEX(DIFFERENTIATION_UNMERGE_VD,MATCH(A14,DIFFERENTIATION_ID_DIFF,0)))</f>
        <v>0</v>
      </c>
      <c r="I14" s="3296"/>
      <c r="J14" s="3296"/>
      <c r="K14" s="3296"/>
      <c r="L14" s="3296"/>
      <c r="M14" s="3296"/>
      <c r="N14" s="3296"/>
      <c r="O14" s="3296"/>
      <c r="P14" s="3296"/>
      <c r="Q14" s="3296"/>
      <c r="R14" s="3296"/>
      <c r="S14" s="653"/>
      <c r="T14" s="650"/>
      <c r="U14" s="559"/>
      <c r="V14" s="559"/>
      <c r="W14" s="560"/>
      <c r="X14" s="560"/>
      <c r="Y14" s="560"/>
      <c r="Z14" s="560"/>
      <c r="AA14" s="561"/>
      <c r="AB14" s="562"/>
      <c r="AC14" s="3288"/>
      <c r="AD14" s="563"/>
      <c r="AE14" s="564" t="s">
        <v>28</v>
      </c>
      <c r="AF14" s="564"/>
      <c r="AG14" s="565" t="s">
        <v>642</v>
      </c>
      <c r="AH14" s="566">
        <v>3</v>
      </c>
      <c r="AI14" s="559"/>
      <c r="AJ14" s="559"/>
      <c r="AK14" s="559"/>
      <c r="AL14" s="559"/>
      <c r="AM14" s="559"/>
      <c r="AN14" s="559"/>
      <c r="AO14" s="559"/>
      <c r="AP14" s="559"/>
      <c r="AQ14" s="559"/>
      <c r="AR14" s="559"/>
      <c r="AS14" s="559"/>
      <c r="AT14" s="559"/>
      <c r="AU14" s="559"/>
      <c r="AV14" s="559"/>
      <c r="AW14" s="559"/>
      <c r="AX14" s="559"/>
      <c r="AY14" s="559"/>
      <c r="AZ14" s="559"/>
      <c r="BA14" s="559"/>
      <c r="BB14" s="559"/>
      <c r="BC14" s="559"/>
      <c r="BD14" s="559"/>
      <c r="BE14" s="559"/>
      <c r="BF14" s="559"/>
      <c r="BG14" s="559"/>
      <c r="BH14" s="559"/>
      <c r="BI14" s="559"/>
      <c r="BJ14" s="559"/>
      <c r="BK14" s="559"/>
      <c r="BL14" s="559"/>
      <c r="BM14" s="559"/>
      <c r="BN14" s="559"/>
      <c r="BO14" s="559"/>
      <c r="BP14" s="559"/>
      <c r="BQ14" s="559"/>
      <c r="BR14" s="559"/>
      <c r="BS14" s="559"/>
      <c r="BT14" s="559"/>
      <c r="BU14" s="559"/>
      <c r="BV14" s="560"/>
      <c r="BW14" s="560"/>
      <c r="BX14" s="560"/>
      <c r="BY14" s="560"/>
      <c r="BZ14" s="560"/>
      <c r="CA14" s="560"/>
      <c r="CB14" s="560"/>
      <c r="CC14" s="560"/>
      <c r="CD14" s="560"/>
      <c r="CE14" s="560"/>
      <c r="CF14" s="228">
        <v>0</v>
      </c>
    </row>
    <row r="15" spans="1:84" s="2021" customFormat="1" ht="15" hidden="1" customHeight="1">
      <c r="A15" s="557"/>
      <c r="B15" s="558"/>
      <c r="C15" s="558"/>
      <c r="D15" s="3294"/>
      <c r="E15" s="3290" t="s">
        <v>597</v>
      </c>
      <c r="F15" s="3291"/>
      <c r="G15" s="3292"/>
      <c r="H15" s="3296" t="str">
        <f>IF(A14="","",INDEX(DIFFERENTIATION_UNMERGE_AREA,MATCH(A14,DIFFERENTIATION_ID_DIFF,0)))</f>
        <v/>
      </c>
      <c r="I15" s="3296"/>
      <c r="J15" s="3296"/>
      <c r="K15" s="3296"/>
      <c r="L15" s="3296"/>
      <c r="M15" s="3296"/>
      <c r="N15" s="3296"/>
      <c r="O15" s="3296"/>
      <c r="P15" s="3296"/>
      <c r="Q15" s="3296"/>
      <c r="R15" s="3296"/>
      <c r="S15" s="653"/>
      <c r="T15" s="650"/>
      <c r="U15" s="559"/>
      <c r="V15" s="559"/>
      <c r="W15" s="560"/>
      <c r="X15" s="560"/>
      <c r="Y15" s="560"/>
      <c r="Z15" s="560"/>
      <c r="AA15" s="561"/>
      <c r="AB15" s="562"/>
      <c r="AC15" s="3288"/>
      <c r="AD15" s="563"/>
      <c r="AE15" s="564"/>
      <c r="AF15" s="564"/>
      <c r="AG15" s="565"/>
      <c r="AH15" s="566"/>
      <c r="AI15" s="559"/>
      <c r="AJ15" s="559"/>
      <c r="AK15" s="559"/>
      <c r="AL15" s="559"/>
      <c r="AM15" s="559"/>
      <c r="AN15" s="559"/>
      <c r="AO15" s="559"/>
      <c r="AP15" s="559"/>
      <c r="AQ15" s="559"/>
      <c r="AR15" s="559"/>
      <c r="AS15" s="559"/>
      <c r="AT15" s="559"/>
      <c r="AU15" s="559"/>
      <c r="AV15" s="559"/>
      <c r="AW15" s="559"/>
      <c r="AX15" s="559"/>
      <c r="AY15" s="559"/>
      <c r="AZ15" s="559"/>
      <c r="BA15" s="559"/>
      <c r="BB15" s="559"/>
      <c r="BC15" s="559"/>
      <c r="BD15" s="559"/>
      <c r="BE15" s="559"/>
      <c r="BF15" s="559"/>
      <c r="BG15" s="559"/>
      <c r="BH15" s="559"/>
      <c r="BI15" s="559"/>
      <c r="BJ15" s="559"/>
      <c r="BK15" s="559"/>
      <c r="BL15" s="559"/>
      <c r="BM15" s="559"/>
      <c r="BN15" s="559"/>
      <c r="BO15" s="559"/>
      <c r="BP15" s="559"/>
      <c r="BQ15" s="559"/>
      <c r="BR15" s="559"/>
      <c r="BS15" s="559"/>
      <c r="BT15" s="559"/>
      <c r="BU15" s="559"/>
      <c r="BV15" s="560"/>
      <c r="BW15" s="560"/>
      <c r="BX15" s="560"/>
      <c r="BY15" s="560"/>
      <c r="BZ15" s="560"/>
      <c r="CA15" s="560"/>
      <c r="CB15" s="560"/>
      <c r="CC15" s="560"/>
      <c r="CD15" s="560"/>
      <c r="CE15" s="560"/>
      <c r="CF15" s="228">
        <v>0</v>
      </c>
    </row>
    <row r="16" spans="1:84" s="2021" customFormat="1" ht="15" hidden="1" customHeight="1">
      <c r="A16" s="557"/>
      <c r="B16" s="558"/>
      <c r="C16" s="558"/>
      <c r="D16" s="3294"/>
      <c r="E16" s="3290" t="s">
        <v>598</v>
      </c>
      <c r="F16" s="3291"/>
      <c r="G16" s="3292"/>
      <c r="H16" s="3296" t="str">
        <f>IF(A14="","",INDEX(DIFFERENTIATION_UNMERGE_SYSTEM,MATCH(A14,DIFFERENTIATION_ID_DIFF,0)))</f>
        <v>без дифференциации</v>
      </c>
      <c r="I16" s="3296"/>
      <c r="J16" s="3296"/>
      <c r="K16" s="3296"/>
      <c r="L16" s="3296"/>
      <c r="M16" s="3296"/>
      <c r="N16" s="3296"/>
      <c r="O16" s="3296"/>
      <c r="P16" s="3296"/>
      <c r="Q16" s="3296"/>
      <c r="R16" s="3296"/>
      <c r="S16" s="653"/>
      <c r="T16" s="650"/>
      <c r="U16" s="559"/>
      <c r="V16" s="559"/>
      <c r="W16" s="560"/>
      <c r="X16" s="560"/>
      <c r="Y16" s="560"/>
      <c r="Z16" s="560"/>
      <c r="AA16" s="561"/>
      <c r="AB16" s="562"/>
      <c r="AC16" s="3288"/>
      <c r="AD16" s="563"/>
      <c r="AE16" s="564"/>
      <c r="AF16" s="564"/>
      <c r="AG16" s="565"/>
      <c r="AH16" s="566"/>
      <c r="AI16" s="559"/>
      <c r="AJ16" s="559"/>
      <c r="AK16" s="559"/>
      <c r="AL16" s="559"/>
      <c r="AM16" s="559"/>
      <c r="AN16" s="559"/>
      <c r="AO16" s="559"/>
      <c r="AP16" s="559"/>
      <c r="AQ16" s="559"/>
      <c r="AR16" s="559"/>
      <c r="AS16" s="559"/>
      <c r="AT16" s="559"/>
      <c r="AU16" s="559"/>
      <c r="AV16" s="559"/>
      <c r="AW16" s="559"/>
      <c r="AX16" s="559"/>
      <c r="AY16" s="559"/>
      <c r="AZ16" s="559"/>
      <c r="BA16" s="559"/>
      <c r="BB16" s="559"/>
      <c r="BC16" s="559"/>
      <c r="BD16" s="559"/>
      <c r="BE16" s="559"/>
      <c r="BF16" s="559"/>
      <c r="BG16" s="559"/>
      <c r="BH16" s="559"/>
      <c r="BI16" s="559"/>
      <c r="BJ16" s="559"/>
      <c r="BK16" s="559"/>
      <c r="BL16" s="559"/>
      <c r="BM16" s="559"/>
      <c r="BN16" s="559"/>
      <c r="BO16" s="559"/>
      <c r="BP16" s="559"/>
      <c r="BQ16" s="559"/>
      <c r="BR16" s="559"/>
      <c r="BS16" s="559"/>
      <c r="BT16" s="559"/>
      <c r="BU16" s="559"/>
      <c r="BV16" s="560"/>
      <c r="BW16" s="560"/>
      <c r="BX16" s="560"/>
      <c r="BY16" s="560"/>
      <c r="BZ16" s="560"/>
      <c r="CA16" s="560"/>
      <c r="CB16" s="560"/>
      <c r="CC16" s="560"/>
      <c r="CD16" s="560"/>
      <c r="CE16" s="560"/>
      <c r="CF16" s="228">
        <v>0</v>
      </c>
    </row>
    <row r="17" spans="1:84" s="2021" customFormat="1" ht="22.5" hidden="1" customHeight="1">
      <c r="A17" s="567"/>
      <c r="B17" s="351"/>
      <c r="C17" s="346"/>
      <c r="D17" s="3294"/>
      <c r="E17" s="3289" t="s">
        <v>643</v>
      </c>
      <c r="F17" s="3289"/>
      <c r="G17" s="3289"/>
      <c r="H17" s="3289"/>
      <c r="I17" s="3289"/>
      <c r="J17" s="3289"/>
      <c r="K17" s="3289"/>
      <c r="L17" s="3289"/>
      <c r="M17" s="3289"/>
      <c r="N17" s="3289"/>
      <c r="O17" s="3289"/>
      <c r="P17" s="3289"/>
      <c r="Q17" s="492">
        <f>SUMIF(T18:T19,"i",Q18:Q19)</f>
        <v>0</v>
      </c>
      <c r="R17" s="938"/>
      <c r="S17" s="820" t="s">
        <v>644</v>
      </c>
      <c r="T17" s="651" t="s">
        <v>645</v>
      </c>
      <c r="U17" s="3198">
        <v>1</v>
      </c>
      <c r="V17" s="3198" t="str">
        <f>INDEX(B_FHD_FLAG_INDEX_1,1,MATCH(A14,B_FHD_FLAG_DIFFERENTIATION,0))</f>
        <v>отсутствует</v>
      </c>
      <c r="W17" s="351"/>
      <c r="X17" s="351"/>
      <c r="Y17" s="351"/>
      <c r="Z17" s="351"/>
      <c r="AA17" s="445"/>
      <c r="AB17" s="351"/>
      <c r="AC17" s="3288"/>
      <c r="AD17" s="563"/>
      <c r="AE17" s="351"/>
      <c r="AF17" s="351"/>
      <c r="AG17" s="445"/>
      <c r="AH17" s="445"/>
      <c r="AI17" s="445"/>
      <c r="AJ17" s="445"/>
      <c r="AK17" s="445"/>
      <c r="AL17" s="445"/>
      <c r="AM17" s="445"/>
      <c r="AN17" s="445"/>
      <c r="AO17" s="445"/>
      <c r="AP17" s="445"/>
      <c r="AQ17" s="445"/>
      <c r="AR17" s="445"/>
      <c r="AS17" s="445"/>
      <c r="AT17" s="445"/>
      <c r="AU17" s="445"/>
      <c r="AV17" s="445"/>
      <c r="AW17" s="445"/>
      <c r="AX17" s="445"/>
      <c r="AY17" s="445"/>
      <c r="AZ17" s="445"/>
      <c r="BA17" s="445"/>
      <c r="BB17" s="445"/>
      <c r="BC17" s="445"/>
      <c r="BD17" s="445"/>
      <c r="BE17" s="445"/>
      <c r="BF17" s="445"/>
      <c r="BG17" s="445"/>
      <c r="BH17" s="445"/>
      <c r="BI17" s="445"/>
      <c r="BJ17" s="445"/>
      <c r="BK17" s="445"/>
      <c r="BL17" s="445"/>
      <c r="BM17" s="445"/>
      <c r="BN17" s="445"/>
      <c r="BO17" s="445"/>
      <c r="BP17" s="445"/>
      <c r="BQ17" s="445"/>
      <c r="BR17" s="445"/>
      <c r="BS17" s="445"/>
      <c r="BT17" s="445"/>
      <c r="BU17" s="445"/>
      <c r="BV17" s="351"/>
      <c r="BW17" s="351"/>
      <c r="BX17" s="351"/>
      <c r="BY17" s="351"/>
      <c r="BZ17" s="351"/>
      <c r="CA17" s="351"/>
      <c r="CB17" s="351"/>
      <c r="CC17" s="351"/>
      <c r="CD17" s="351"/>
      <c r="CE17" s="351"/>
      <c r="CF17" s="228">
        <v>0</v>
      </c>
    </row>
    <row r="18" spans="1:84" s="2021" customFormat="1" ht="11.25" hidden="1" customHeight="1">
      <c r="A18" s="568"/>
      <c r="B18" s="445"/>
      <c r="C18" s="445"/>
      <c r="D18" s="3294"/>
      <c r="E18" s="569"/>
      <c r="F18" s="569">
        <v>0</v>
      </c>
      <c r="G18" s="569"/>
      <c r="H18" s="569"/>
      <c r="I18" s="569"/>
      <c r="J18" s="569"/>
      <c r="K18" s="569"/>
      <c r="L18" s="569"/>
      <c r="M18" s="569"/>
      <c r="N18" s="569"/>
      <c r="O18" s="569"/>
      <c r="P18" s="569"/>
      <c r="Q18" s="569"/>
      <c r="R18" s="569"/>
      <c r="S18" s="570"/>
      <c r="T18" s="652"/>
      <c r="U18" s="3198"/>
      <c r="V18" s="3198"/>
      <c r="W18" s="445"/>
      <c r="X18" s="445"/>
      <c r="Y18" s="445"/>
      <c r="Z18" s="445"/>
      <c r="AA18" s="445"/>
      <c r="AB18" s="351"/>
      <c r="AC18" s="3288"/>
      <c r="AD18" s="563"/>
      <c r="AE18" s="351"/>
      <c r="AF18" s="351"/>
      <c r="AG18" s="445"/>
      <c r="AH18" s="445"/>
      <c r="AI18" s="445"/>
      <c r="AJ18" s="445"/>
      <c r="AK18" s="445"/>
      <c r="AL18" s="445"/>
      <c r="AM18" s="445"/>
      <c r="AN18" s="445"/>
      <c r="AO18" s="445"/>
      <c r="AP18" s="445"/>
      <c r="AQ18" s="445"/>
      <c r="AR18" s="445"/>
      <c r="AS18" s="445"/>
      <c r="AT18" s="445"/>
      <c r="AU18" s="445"/>
      <c r="AV18" s="445"/>
      <c r="AW18" s="445"/>
      <c r="AX18" s="445"/>
      <c r="AY18" s="445"/>
      <c r="AZ18" s="445"/>
      <c r="BA18" s="445"/>
      <c r="BB18" s="445"/>
      <c r="BC18" s="445"/>
      <c r="BD18" s="445"/>
      <c r="BE18" s="445"/>
      <c r="BF18" s="445"/>
      <c r="BG18" s="445"/>
      <c r="BH18" s="445"/>
      <c r="BI18" s="445"/>
      <c r="BJ18" s="445"/>
      <c r="BK18" s="445"/>
      <c r="BL18" s="445"/>
      <c r="BM18" s="445"/>
      <c r="BN18" s="445"/>
      <c r="BO18" s="445"/>
      <c r="BP18" s="445"/>
      <c r="BQ18" s="445"/>
      <c r="BR18" s="445"/>
      <c r="BS18" s="445"/>
      <c r="BT18" s="445"/>
      <c r="BU18" s="445"/>
      <c r="BV18" s="445"/>
      <c r="BW18" s="445"/>
      <c r="BX18" s="445"/>
      <c r="BY18" s="445"/>
      <c r="BZ18" s="445"/>
      <c r="CA18" s="445"/>
      <c r="CB18" s="445"/>
      <c r="CC18" s="445"/>
      <c r="CD18" s="445"/>
      <c r="CE18" s="445"/>
      <c r="CF18" s="228">
        <v>0</v>
      </c>
    </row>
    <row r="19" spans="1:84" s="2021" customFormat="1" ht="11.25" hidden="1" customHeight="1">
      <c r="A19" s="567"/>
      <c r="B19" s="351"/>
      <c r="C19" s="346"/>
      <c r="D19" s="3294"/>
      <c r="E19" s="583" t="s">
        <v>28</v>
      </c>
      <c r="F19" s="584" t="s">
        <v>28</v>
      </c>
      <c r="G19" s="584" t="s">
        <v>28</v>
      </c>
      <c r="H19" s="585" t="s">
        <v>28</v>
      </c>
      <c r="I19" s="585"/>
      <c r="J19" s="585"/>
      <c r="K19" s="585"/>
      <c r="L19" s="585"/>
      <c r="M19" s="585"/>
      <c r="N19" s="585"/>
      <c r="O19" s="585"/>
      <c r="P19" s="585"/>
      <c r="Q19" s="585"/>
      <c r="R19" s="586"/>
      <c r="S19" s="941"/>
      <c r="T19" s="652"/>
      <c r="U19" s="3198"/>
      <c r="V19" s="3198"/>
      <c r="W19" s="351"/>
      <c r="X19" s="351"/>
      <c r="Y19" s="351"/>
      <c r="Z19" s="351"/>
      <c r="AA19" s="445"/>
      <c r="AB19" s="351"/>
      <c r="AC19" s="3288"/>
      <c r="AD19" s="563"/>
      <c r="AE19" s="351"/>
      <c r="AF19" s="351"/>
      <c r="AG19" s="445"/>
      <c r="AH19" s="445"/>
      <c r="AI19" s="445"/>
      <c r="AJ19" s="445"/>
      <c r="AK19" s="445"/>
      <c r="AL19" s="445"/>
      <c r="AM19" s="445"/>
      <c r="AN19" s="445"/>
      <c r="AO19" s="445"/>
      <c r="AP19" s="445"/>
      <c r="AQ19" s="445"/>
      <c r="AR19" s="445"/>
      <c r="AS19" s="445"/>
      <c r="AT19" s="445"/>
      <c r="AU19" s="445"/>
      <c r="AV19" s="445"/>
      <c r="AW19" s="445"/>
      <c r="AX19" s="445"/>
      <c r="AY19" s="445"/>
      <c r="AZ19" s="445"/>
      <c r="BA19" s="445"/>
      <c r="BB19" s="445"/>
      <c r="BC19" s="445"/>
      <c r="BD19" s="445"/>
      <c r="BE19" s="445"/>
      <c r="BF19" s="445"/>
      <c r="BG19" s="445"/>
      <c r="BH19" s="445"/>
      <c r="BI19" s="445"/>
      <c r="BJ19" s="445"/>
      <c r="BK19" s="445"/>
      <c r="BL19" s="445"/>
      <c r="BM19" s="445"/>
      <c r="BN19" s="445"/>
      <c r="BO19" s="445"/>
      <c r="BP19" s="445"/>
      <c r="BQ19" s="445"/>
      <c r="BR19" s="445"/>
      <c r="BS19" s="445"/>
      <c r="BT19" s="445"/>
      <c r="BU19" s="445"/>
      <c r="BV19" s="351"/>
      <c r="BW19" s="351"/>
      <c r="BX19" s="351"/>
      <c r="BY19" s="351"/>
      <c r="BZ19" s="351"/>
      <c r="CA19" s="351"/>
      <c r="CB19" s="351"/>
      <c r="CC19" s="351"/>
      <c r="CD19" s="351"/>
      <c r="CE19" s="351"/>
      <c r="CF19" s="228">
        <v>0</v>
      </c>
    </row>
    <row r="20" spans="1:84" s="2021" customFormat="1" ht="22.5" hidden="1" customHeight="1">
      <c r="A20" s="567"/>
      <c r="B20" s="351"/>
      <c r="C20" s="346"/>
      <c r="D20" s="3294"/>
      <c r="E20" s="3289" t="s">
        <v>646</v>
      </c>
      <c r="F20" s="3289"/>
      <c r="G20" s="3289"/>
      <c r="H20" s="3289"/>
      <c r="I20" s="3289"/>
      <c r="J20" s="3289"/>
      <c r="K20" s="3289"/>
      <c r="L20" s="3289"/>
      <c r="M20" s="3289"/>
      <c r="N20" s="3289"/>
      <c r="O20" s="3289"/>
      <c r="P20" s="3289"/>
      <c r="Q20" s="492">
        <f>SUMIF(T21:T22,"i",Q21:Q22)</f>
        <v>0</v>
      </c>
      <c r="R20" s="938"/>
      <c r="S20" s="643" t="s">
        <v>647</v>
      </c>
      <c r="T20" s="651" t="s">
        <v>645</v>
      </c>
      <c r="U20" s="3198">
        <v>2</v>
      </c>
      <c r="V20" s="3198" t="str">
        <f>INDEX(B_FHD_FLAG_INDEX_2,1,MATCH(A14,B_FHD_FLAG_DIFFERENTIATION,0))</f>
        <v>отсутствует</v>
      </c>
      <c r="W20" s="351"/>
      <c r="X20" s="351"/>
      <c r="Y20" s="351"/>
      <c r="Z20" s="351"/>
      <c r="AA20" s="445"/>
      <c r="AB20" s="351"/>
      <c r="AC20" s="640"/>
      <c r="AD20" s="563"/>
      <c r="AE20" s="351"/>
      <c r="AF20" s="351"/>
      <c r="AG20" s="445"/>
      <c r="AH20" s="445"/>
      <c r="AI20" s="445"/>
      <c r="AJ20" s="445"/>
      <c r="AK20" s="445"/>
      <c r="AL20" s="445"/>
      <c r="AM20" s="445"/>
      <c r="AN20" s="445"/>
      <c r="AO20" s="445"/>
      <c r="AP20" s="445"/>
      <c r="AQ20" s="445"/>
      <c r="AR20" s="445"/>
      <c r="AS20" s="445"/>
      <c r="AT20" s="445"/>
      <c r="AU20" s="445"/>
      <c r="AV20" s="445"/>
      <c r="AW20" s="445"/>
      <c r="AX20" s="445"/>
      <c r="AY20" s="445"/>
      <c r="AZ20" s="445"/>
      <c r="BA20" s="445"/>
      <c r="BB20" s="445"/>
      <c r="BC20" s="445"/>
      <c r="BD20" s="445"/>
      <c r="BE20" s="445"/>
      <c r="BF20" s="445"/>
      <c r="BG20" s="445"/>
      <c r="BH20" s="445"/>
      <c r="BI20" s="445"/>
      <c r="BJ20" s="445"/>
      <c r="BK20" s="445"/>
      <c r="BL20" s="445"/>
      <c r="BM20" s="445"/>
      <c r="BN20" s="445"/>
      <c r="BO20" s="445"/>
      <c r="BP20" s="445"/>
      <c r="BQ20" s="445"/>
      <c r="BR20" s="445"/>
      <c r="BS20" s="445"/>
      <c r="BT20" s="445"/>
      <c r="BU20" s="445"/>
      <c r="BV20" s="351"/>
      <c r="BW20" s="351"/>
      <c r="BX20" s="351"/>
      <c r="BY20" s="351"/>
      <c r="BZ20" s="351"/>
      <c r="CA20" s="351"/>
      <c r="CB20" s="351"/>
      <c r="CC20" s="351"/>
      <c r="CD20" s="351"/>
      <c r="CE20" s="351"/>
      <c r="CF20" s="228">
        <v>0</v>
      </c>
    </row>
    <row r="21" spans="1:84" s="2021" customFormat="1" ht="11.25" hidden="1" customHeight="1">
      <c r="A21" s="642"/>
      <c r="B21" s="445"/>
      <c r="C21" s="445"/>
      <c r="D21" s="3294"/>
      <c r="E21" s="569"/>
      <c r="F21" s="569">
        <v>0</v>
      </c>
      <c r="G21" s="569"/>
      <c r="H21" s="569"/>
      <c r="I21" s="569"/>
      <c r="J21" s="569"/>
      <c r="K21" s="569"/>
      <c r="L21" s="569"/>
      <c r="M21" s="569"/>
      <c r="N21" s="569"/>
      <c r="O21" s="569"/>
      <c r="P21" s="569"/>
      <c r="Q21" s="569"/>
      <c r="R21" s="569"/>
      <c r="S21" s="570"/>
      <c r="T21" s="652"/>
      <c r="U21" s="3198"/>
      <c r="V21" s="3198"/>
      <c r="W21" s="445"/>
      <c r="X21" s="445"/>
      <c r="Y21" s="445"/>
      <c r="Z21" s="445"/>
      <c r="AA21" s="445"/>
      <c r="AB21" s="351"/>
      <c r="AC21" s="640"/>
      <c r="AD21" s="563"/>
      <c r="AE21" s="351"/>
      <c r="AF21" s="351"/>
      <c r="AG21" s="445"/>
      <c r="AH21" s="445"/>
      <c r="AI21" s="445"/>
      <c r="AJ21" s="445"/>
      <c r="AK21" s="445"/>
      <c r="AL21" s="445"/>
      <c r="AM21" s="445"/>
      <c r="AN21" s="445"/>
      <c r="AO21" s="445"/>
      <c r="AP21" s="445"/>
      <c r="AQ21" s="445"/>
      <c r="AR21" s="445"/>
      <c r="AS21" s="445"/>
      <c r="AT21" s="445"/>
      <c r="AU21" s="445"/>
      <c r="AV21" s="445"/>
      <c r="AW21" s="445"/>
      <c r="AX21" s="445"/>
      <c r="AY21" s="445"/>
      <c r="AZ21" s="445"/>
      <c r="BA21" s="445"/>
      <c r="BB21" s="445"/>
      <c r="BC21" s="445"/>
      <c r="BD21" s="445"/>
      <c r="BE21" s="445"/>
      <c r="BF21" s="445"/>
      <c r="BG21" s="445"/>
      <c r="BH21" s="445"/>
      <c r="BI21" s="445"/>
      <c r="BJ21" s="445"/>
      <c r="BK21" s="445"/>
      <c r="BL21" s="445"/>
      <c r="BM21" s="445"/>
      <c r="BN21" s="445"/>
      <c r="BO21" s="445"/>
      <c r="BP21" s="445"/>
      <c r="BQ21" s="445"/>
      <c r="BR21" s="445"/>
      <c r="BS21" s="445"/>
      <c r="BT21" s="445"/>
      <c r="BU21" s="445"/>
      <c r="BV21" s="445"/>
      <c r="BW21" s="445"/>
      <c r="BX21" s="445"/>
      <c r="BY21" s="445"/>
      <c r="BZ21" s="445"/>
      <c r="CA21" s="445"/>
      <c r="CB21" s="445"/>
      <c r="CC21" s="445"/>
      <c r="CD21" s="445"/>
      <c r="CE21" s="445"/>
      <c r="CF21" s="228">
        <v>0</v>
      </c>
    </row>
    <row r="22" spans="1:84" s="2021" customFormat="1" ht="11.25" hidden="1" customHeight="1">
      <c r="A22" s="567"/>
      <c r="B22" s="351"/>
      <c r="C22" s="346"/>
      <c r="D22" s="3295"/>
      <c r="E22" s="583" t="s">
        <v>28</v>
      </c>
      <c r="F22" s="584" t="s">
        <v>28</v>
      </c>
      <c r="G22" s="584" t="s">
        <v>28</v>
      </c>
      <c r="H22" s="585" t="s">
        <v>28</v>
      </c>
      <c r="I22" s="585"/>
      <c r="J22" s="585"/>
      <c r="K22" s="585"/>
      <c r="L22" s="585"/>
      <c r="M22" s="585"/>
      <c r="N22" s="585"/>
      <c r="O22" s="585"/>
      <c r="P22" s="585"/>
      <c r="Q22" s="585"/>
      <c r="R22" s="586"/>
      <c r="S22" s="941"/>
      <c r="T22" s="652"/>
      <c r="U22" s="3198"/>
      <c r="V22" s="3198"/>
      <c r="W22" s="351"/>
      <c r="X22" s="351"/>
      <c r="Y22" s="351"/>
      <c r="Z22" s="351"/>
      <c r="AA22" s="445"/>
      <c r="AB22" s="351"/>
      <c r="AC22" s="640"/>
      <c r="AD22" s="563"/>
      <c r="AE22" s="351"/>
      <c r="AF22" s="351"/>
      <c r="AG22" s="445"/>
      <c r="AH22" s="445"/>
      <c r="AI22" s="445"/>
      <c r="AJ22" s="445"/>
      <c r="AK22" s="445"/>
      <c r="AL22" s="445"/>
      <c r="AM22" s="445"/>
      <c r="AN22" s="445"/>
      <c r="AO22" s="445"/>
      <c r="AP22" s="445"/>
      <c r="AQ22" s="445"/>
      <c r="AR22" s="445"/>
      <c r="AS22" s="445"/>
      <c r="AT22" s="445"/>
      <c r="AU22" s="445"/>
      <c r="AV22" s="445"/>
      <c r="AW22" s="445"/>
      <c r="AX22" s="445"/>
      <c r="AY22" s="445"/>
      <c r="AZ22" s="445"/>
      <c r="BA22" s="445"/>
      <c r="BB22" s="445"/>
      <c r="BC22" s="445"/>
      <c r="BD22" s="445"/>
      <c r="BE22" s="445"/>
      <c r="BF22" s="445"/>
      <c r="BG22" s="445"/>
      <c r="BH22" s="445"/>
      <c r="BI22" s="445"/>
      <c r="BJ22" s="445"/>
      <c r="BK22" s="445"/>
      <c r="BL22" s="445"/>
      <c r="BM22" s="445"/>
      <c r="BN22" s="445"/>
      <c r="BO22" s="445"/>
      <c r="BP22" s="445"/>
      <c r="BQ22" s="445"/>
      <c r="BR22" s="445"/>
      <c r="BS22" s="445"/>
      <c r="BT22" s="445"/>
      <c r="BU22" s="445"/>
      <c r="BV22" s="351"/>
      <c r="BW22" s="351"/>
      <c r="BX22" s="351"/>
      <c r="BY22" s="351"/>
      <c r="BZ22" s="351"/>
      <c r="CA22" s="351"/>
      <c r="CB22" s="351"/>
      <c r="CC22" s="351"/>
      <c r="CD22" s="351"/>
      <c r="CE22" s="351"/>
      <c r="CF22" s="228">
        <v>0</v>
      </c>
    </row>
    <row r="23" spans="1:84" ht="20" customHeight="1">
      <c r="D23" s="968"/>
      <c r="E23" s="968"/>
      <c r="F23" s="968"/>
      <c r="G23" s="968"/>
      <c r="H23" s="968"/>
      <c r="I23" s="968"/>
      <c r="J23" s="968"/>
      <c r="K23" s="968"/>
      <c r="L23" s="968"/>
      <c r="M23" s="968"/>
      <c r="N23" s="968"/>
      <c r="O23" s="968"/>
      <c r="P23" s="968"/>
      <c r="Q23" s="968"/>
      <c r="R23" s="968"/>
      <c r="S23" s="968"/>
      <c r="T23" s="269"/>
      <c r="CF23" s="439">
        <v>19</v>
      </c>
    </row>
    <row r="24" spans="1:84" ht="11.5" customHeight="1">
      <c r="D24" s="443"/>
      <c r="CF24" s="439">
        <v>11</v>
      </c>
    </row>
    <row r="25" spans="1:84" ht="11.5" customHeight="1">
      <c r="D25" s="588"/>
      <c r="E25" s="588"/>
      <c r="F25" s="588"/>
      <c r="G25" s="589"/>
      <c r="CF25" s="439">
        <v>11</v>
      </c>
    </row>
    <row r="26" spans="1:84" ht="11.5" customHeight="1">
      <c r="CF26" s="439">
        <v>11</v>
      </c>
    </row>
    <row r="27" spans="1:84" ht="11.5" customHeight="1">
      <c r="D27" s="590"/>
      <c r="E27" s="3297"/>
      <c r="F27" s="3297"/>
      <c r="G27" s="3297"/>
      <c r="H27" s="3297"/>
      <c r="I27" s="3297"/>
      <c r="J27" s="3297"/>
      <c r="K27" s="3297"/>
      <c r="L27" s="3297"/>
      <c r="M27" s="3297"/>
      <c r="N27" s="3297"/>
      <c r="O27" s="3297"/>
      <c r="P27" s="3297"/>
      <c r="Q27" s="3297"/>
      <c r="R27" s="3297"/>
      <c r="CF27" s="439">
        <v>11</v>
      </c>
    </row>
    <row r="28" spans="1:84" ht="11.5" customHeight="1">
      <c r="F28" s="690"/>
      <c r="G28" s="690"/>
      <c r="CF28" s="439">
        <v>11</v>
      </c>
    </row>
    <row r="29" spans="1:84" ht="11.25" hidden="1" customHeight="1">
      <c r="A29" s="544" t="s">
        <v>83</v>
      </c>
      <c r="B29" s="383">
        <v>0</v>
      </c>
      <c r="C29" s="439">
        <v>3</v>
      </c>
      <c r="D29" s="439">
        <v>0</v>
      </c>
      <c r="E29" s="439">
        <v>7</v>
      </c>
      <c r="F29" s="439">
        <v>7</v>
      </c>
      <c r="G29" s="439">
        <v>29</v>
      </c>
      <c r="H29" s="439">
        <v>3</v>
      </c>
      <c r="I29" s="439">
        <v>5</v>
      </c>
      <c r="J29" s="439">
        <v>24</v>
      </c>
      <c r="K29" s="439">
        <v>24</v>
      </c>
      <c r="L29" s="439">
        <v>3</v>
      </c>
      <c r="M29" s="439">
        <v>6</v>
      </c>
      <c r="N29" s="439">
        <v>25</v>
      </c>
      <c r="O29" s="439">
        <v>18</v>
      </c>
      <c r="P29" s="439">
        <v>18</v>
      </c>
      <c r="Q29" s="439">
        <v>18</v>
      </c>
      <c r="R29" s="439">
        <v>18</v>
      </c>
      <c r="S29" s="439">
        <v>93</v>
      </c>
      <c r="T29" s="439">
        <v>10</v>
      </c>
      <c r="U29" s="545">
        <v>10</v>
      </c>
      <c r="V29" s="545">
        <v>11</v>
      </c>
      <c r="W29" s="546">
        <v>10</v>
      </c>
      <c r="X29" s="383">
        <v>10</v>
      </c>
      <c r="Y29" s="383">
        <v>10</v>
      </c>
      <c r="Z29" s="383">
        <v>10</v>
      </c>
      <c r="AA29" s="383">
        <v>10</v>
      </c>
      <c r="AB29" s="439">
        <v>8</v>
      </c>
      <c r="AC29" s="439">
        <v>8</v>
      </c>
      <c r="AD29" s="439">
        <v>8</v>
      </c>
      <c r="AE29" s="439">
        <v>8</v>
      </c>
      <c r="AF29" s="439">
        <v>8</v>
      </c>
      <c r="AG29" s="439">
        <v>8</v>
      </c>
      <c r="AH29" s="439">
        <v>8</v>
      </c>
      <c r="AI29" s="439">
        <v>8</v>
      </c>
      <c r="AJ29" s="439">
        <v>8</v>
      </c>
      <c r="AK29" s="439">
        <v>8</v>
      </c>
      <c r="AL29" s="439">
        <v>8</v>
      </c>
      <c r="AM29" s="439">
        <v>8</v>
      </c>
      <c r="AN29" s="439">
        <v>8</v>
      </c>
      <c r="AO29" s="439">
        <v>8</v>
      </c>
      <c r="AP29" s="439">
        <v>8</v>
      </c>
      <c r="AQ29" s="439">
        <v>8</v>
      </c>
      <c r="AR29" s="439">
        <v>8</v>
      </c>
      <c r="AS29" s="439">
        <v>8</v>
      </c>
      <c r="AT29" s="439">
        <v>8</v>
      </c>
      <c r="AU29" s="439">
        <v>8</v>
      </c>
      <c r="AV29" s="439">
        <v>8</v>
      </c>
      <c r="AW29" s="439">
        <v>8</v>
      </c>
      <c r="AX29" s="439">
        <v>8</v>
      </c>
      <c r="AY29" s="439">
        <v>8</v>
      </c>
      <c r="AZ29" s="439">
        <v>8</v>
      </c>
      <c r="BA29" s="439">
        <v>8</v>
      </c>
      <c r="BB29" s="439">
        <v>8</v>
      </c>
      <c r="BC29" s="439">
        <v>8</v>
      </c>
      <c r="BD29" s="439">
        <v>8</v>
      </c>
      <c r="BE29" s="439">
        <v>8</v>
      </c>
      <c r="BF29" s="439">
        <v>8</v>
      </c>
      <c r="BG29" s="439">
        <v>8</v>
      </c>
      <c r="BH29" s="439">
        <v>8</v>
      </c>
      <c r="BI29" s="439">
        <v>8</v>
      </c>
      <c r="BJ29" s="439">
        <v>8</v>
      </c>
      <c r="BK29" s="439">
        <v>8</v>
      </c>
      <c r="BL29" s="439">
        <v>8</v>
      </c>
      <c r="BM29" s="439">
        <v>8</v>
      </c>
      <c r="BN29" s="439">
        <v>8</v>
      </c>
      <c r="BO29" s="439">
        <v>8</v>
      </c>
      <c r="BP29" s="439">
        <v>8</v>
      </c>
      <c r="BQ29" s="439">
        <v>8</v>
      </c>
      <c r="BR29" s="439">
        <v>8</v>
      </c>
      <c r="BS29" s="439">
        <v>8</v>
      </c>
      <c r="BT29" s="439">
        <v>8</v>
      </c>
      <c r="BU29" s="439">
        <v>8</v>
      </c>
      <c r="BV29" s="439">
        <v>8</v>
      </c>
      <c r="BW29" s="439">
        <v>8</v>
      </c>
      <c r="BX29" s="439">
        <v>8</v>
      </c>
      <c r="BY29" s="439">
        <v>8</v>
      </c>
      <c r="BZ29" s="439">
        <v>8</v>
      </c>
      <c r="CA29" s="439">
        <v>8</v>
      </c>
      <c r="CB29" s="439">
        <v>8</v>
      </c>
      <c r="CC29" s="439">
        <v>8</v>
      </c>
      <c r="CD29" s="439">
        <v>8</v>
      </c>
      <c r="CE29" s="439">
        <v>8</v>
      </c>
      <c r="CF29" s="439">
        <v>11</v>
      </c>
    </row>
  </sheetData>
  <sheetProtection formatColumns="0" formatRows="0" insertRows="0" deleteColumns="0" deleteRows="0" sort="0" autoFilter="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A52A2E-79BE-112E-8133-36292B2364C4}">
  <sheetPr>
    <tabColor theme="9" tint="-0.249977111117893"/>
  </sheetPr>
  <dimension ref="A1:AK204"/>
  <sheetViews>
    <sheetView showGridLines="0" topLeftCell="H5" zoomScale="90" workbookViewId="0"/>
  </sheetViews>
  <sheetFormatPr defaultColWidth="9.09765625" defaultRowHeight="11.25" customHeight="1"/>
  <cols>
    <col min="1" max="5" width="10.69921875" style="2982" hidden="1" customWidth="1"/>
    <col min="6" max="6" width="16.796875" style="2016" hidden="1" customWidth="1"/>
    <col min="7" max="7" width="5.59765625" style="2017" hidden="1" customWidth="1"/>
    <col min="8" max="8" width="3" style="2004" customWidth="1"/>
    <col min="9" max="9" width="7" style="2004" customWidth="1"/>
    <col min="10" max="10" width="56" style="2004" customWidth="1"/>
    <col min="11" max="11" width="10" style="2004" customWidth="1"/>
    <col min="12" max="12" width="40.59765625" style="2004" hidden="1" customWidth="1"/>
    <col min="13" max="13" width="40.69921875" style="2004" customWidth="1"/>
    <col min="14" max="14" width="9.69921875" style="2016" hidden="1" customWidth="1"/>
    <col min="15" max="15" width="102" style="2004" customWidth="1"/>
    <col min="16" max="16" width="9" style="2016" customWidth="1"/>
    <col min="17" max="17" width="5" style="2017" customWidth="1"/>
    <col min="18" max="18" width="3" style="2017" customWidth="1"/>
    <col min="19" max="22" width="3" style="2016" customWidth="1"/>
    <col min="23" max="23" width="10" style="2017" customWidth="1"/>
    <col min="24" max="24" width="34" style="2016" customWidth="1"/>
    <col min="25" max="25" width="9" style="2016" customWidth="1"/>
    <col min="26" max="26" width="8" style="2983" customWidth="1"/>
    <col min="27" max="31" width="8" style="2016" customWidth="1"/>
    <col min="32" max="36" width="8" style="2002" customWidth="1"/>
    <col min="37" max="37" width="5.3984375" style="2004" hidden="1" customWidth="1"/>
  </cols>
  <sheetData>
    <row r="1" spans="1:37" s="2016" customFormat="1" ht="33.75" hidden="1" customHeight="1">
      <c r="A1" s="909"/>
      <c r="B1" s="909"/>
      <c r="C1" s="909"/>
      <c r="D1" s="909"/>
      <c r="E1" s="909"/>
      <c r="G1" s="1553"/>
      <c r="H1" s="802"/>
      <c r="L1" s="1283">
        <v>4</v>
      </c>
      <c r="M1" s="1283">
        <v>4</v>
      </c>
      <c r="Q1" s="1553"/>
      <c r="R1" s="1553"/>
      <c r="W1" s="1553"/>
      <c r="AK1" s="1283" t="s">
        <v>14</v>
      </c>
    </row>
    <row r="2" spans="1:37" s="2016" customFormat="1" ht="78.75" hidden="1" customHeight="1">
      <c r="A2" s="909"/>
      <c r="B2" s="1964" t="s">
        <v>648</v>
      </c>
      <c r="C2" s="1964" t="s">
        <v>649</v>
      </c>
      <c r="D2" s="1963" t="s">
        <v>650</v>
      </c>
      <c r="E2" s="1967" t="e">
        <f>RIGHT(I2,LEN(I2)-SEARCH("#",SUBSTITUTE(I2,".","#",LEN(I2)-LEN(SUBSTITUTE(I2,".","")))))</f>
        <v>#VALUE!</v>
      </c>
      <c r="F2" s="1969">
        <f>J2</f>
        <v>0</v>
      </c>
      <c r="G2" s="1553"/>
      <c r="H2" s="1970"/>
      <c r="I2" s="1960"/>
      <c r="J2" s="474"/>
      <c r="K2" s="1930" t="s">
        <v>589</v>
      </c>
      <c r="L2" s="685"/>
      <c r="M2" s="685"/>
      <c r="N2" s="477"/>
      <c r="O2" s="1442" t="s">
        <v>590</v>
      </c>
      <c r="P2" s="477"/>
      <c r="Q2" s="1553"/>
      <c r="R2" s="1553"/>
      <c r="W2" s="1553"/>
      <c r="Z2" s="478"/>
      <c r="AF2" s="1549"/>
      <c r="AG2" s="1549"/>
      <c r="AH2" s="1549"/>
      <c r="AI2" s="1549"/>
      <c r="AJ2" s="1549"/>
      <c r="AK2" s="1283">
        <v>0</v>
      </c>
    </row>
    <row r="3" spans="1:37" ht="11.25" hidden="1" customHeight="1">
      <c r="E3" s="1962" t="s">
        <v>651</v>
      </c>
      <c r="L3" s="1548">
        <f>0</f>
        <v>0</v>
      </c>
      <c r="M3" s="1548">
        <v>1</v>
      </c>
      <c r="AK3" s="1548">
        <v>0</v>
      </c>
    </row>
    <row r="4" spans="1:37" s="2002" customFormat="1" ht="11.25" hidden="1" customHeight="1">
      <c r="A4" s="909"/>
      <c r="B4" s="909"/>
      <c r="C4" s="909"/>
      <c r="E4" s="909"/>
      <c r="F4" s="1283"/>
      <c r="G4" s="1553"/>
      <c r="H4" s="554"/>
      <c r="N4" s="1283"/>
      <c r="O4" s="1549">
        <v>4</v>
      </c>
      <c r="P4" s="1283"/>
      <c r="Q4" s="1553"/>
      <c r="R4" s="1553"/>
      <c r="S4" s="1283"/>
      <c r="T4" s="1283"/>
      <c r="U4" s="1283"/>
      <c r="V4" s="1283"/>
      <c r="W4" s="1553"/>
      <c r="X4" s="1283"/>
      <c r="Y4" s="1283"/>
      <c r="Z4" s="478"/>
      <c r="AA4" s="1283"/>
      <c r="AB4" s="1283"/>
      <c r="AC4" s="1283"/>
      <c r="AD4" s="1283"/>
      <c r="AE4" s="1283"/>
      <c r="AK4" s="1549">
        <v>0</v>
      </c>
    </row>
    <row r="5" spans="1:37" ht="11.5" customHeight="1">
      <c r="AK5" s="1548">
        <v>11</v>
      </c>
    </row>
    <row r="6" spans="1:37" ht="57.75" customHeight="1">
      <c r="I6" s="3144" t="s">
        <v>652</v>
      </c>
      <c r="J6" s="3144"/>
      <c r="K6" s="3144"/>
      <c r="L6" s="3144"/>
      <c r="M6" s="3144"/>
      <c r="O6" s="490"/>
      <c r="AK6" s="1548">
        <v>55</v>
      </c>
    </row>
    <row r="7" spans="1:37" ht="25.25" customHeight="1">
      <c r="I7" s="3131" t="str">
        <f>IF(org=0,"Не определено",org)</f>
        <v>ООО "РСО"</v>
      </c>
      <c r="J7" s="3131"/>
      <c r="K7" s="3131"/>
      <c r="L7" s="3131"/>
      <c r="M7" s="3131"/>
      <c r="AK7" s="1548">
        <v>24</v>
      </c>
    </row>
    <row r="8" spans="1:37" ht="11.5" customHeight="1">
      <c r="I8" s="1052"/>
      <c r="J8" s="1052"/>
      <c r="K8" s="1052"/>
      <c r="L8" s="1052"/>
      <c r="M8" s="1052"/>
      <c r="AK8" s="1548">
        <v>11</v>
      </c>
    </row>
    <row r="9" spans="1:37" s="2017" customFormat="1" ht="30" hidden="1" customHeight="1">
      <c r="A9" s="1084"/>
      <c r="B9" s="1084"/>
      <c r="C9" s="1084"/>
      <c r="E9" s="1084"/>
      <c r="H9" s="1559"/>
      <c r="L9" s="812"/>
      <c r="M9" s="812" t="s">
        <v>131</v>
      </c>
      <c r="AK9" s="1553">
        <v>1</v>
      </c>
    </row>
    <row r="10" spans="1:37" ht="11.5" customHeight="1">
      <c r="E10" s="1961" t="s">
        <v>653</v>
      </c>
      <c r="I10" s="645"/>
      <c r="J10" s="3282" t="s">
        <v>120</v>
      </c>
      <c r="K10" s="3283"/>
      <c r="L10" s="1940" t="str">
        <f>IF(L9="","",INDEX(DIFFERENTIATION_UNMERGE_VD,MATCH(L9,DIFFERENTIATION_ID_DIFF,0)))</f>
        <v/>
      </c>
      <c r="M10" s="1940">
        <f>IF(M9="","",INDEX(DIFFERENTIATION_UNMERGE_VD,MATCH(M9,DIFFERENTIATION_ID_DIFF,0)))</f>
        <v>0</v>
      </c>
      <c r="O10" s="3067" t="s">
        <v>336</v>
      </c>
      <c r="AK10" s="1548">
        <v>11</v>
      </c>
    </row>
    <row r="11" spans="1:37" ht="11.5" customHeight="1">
      <c r="E11" s="1961" t="s">
        <v>654</v>
      </c>
      <c r="I11" s="645"/>
      <c r="J11" s="3282" t="s">
        <v>597</v>
      </c>
      <c r="K11" s="3283"/>
      <c r="L11" s="1940" t="str">
        <f>IF(L9="","",INDEX(DIFFERENTIATION_UNMERGE_AREA,MATCH(L9,DIFFERENTIATION_ID_DIFF,0)))</f>
        <v/>
      </c>
      <c r="M11" s="1940" t="str">
        <f>IF(M9="","",INDEX(DIFFERENTIATION_UNMERGE_AREA,MATCH(M9,DIFFERENTIATION_ID_DIFF,0)))</f>
        <v/>
      </c>
      <c r="O11" s="3067"/>
      <c r="AK11" s="1548">
        <v>11</v>
      </c>
    </row>
    <row r="12" spans="1:37" ht="11.5" customHeight="1">
      <c r="E12" s="1961" t="s">
        <v>655</v>
      </c>
      <c r="I12" s="1579"/>
      <c r="J12" s="3282" t="s">
        <v>598</v>
      </c>
      <c r="K12" s="3283"/>
      <c r="L12" s="1940" t="str">
        <f>IF(L9="","",INDEX(DIFFERENTIATION_UNMERGE_SYSTEM,MATCH(L9,DIFFERENTIATION_ID_DIFF,0)))</f>
        <v/>
      </c>
      <c r="M12" s="1940" t="str">
        <f>IF(M9="","",INDEX(DIFFERENTIATION_UNMERGE_SYSTEM,MATCH(M9,DIFFERENTIATION_ID_DIFF,0)))</f>
        <v>без дифференциации</v>
      </c>
      <c r="O12" s="3067"/>
      <c r="AK12" s="1548">
        <v>11</v>
      </c>
    </row>
    <row r="13" spans="1:37" ht="11.5" customHeight="1">
      <c r="E13" s="1961" t="s">
        <v>656</v>
      </c>
      <c r="F13" s="1961" t="s">
        <v>657</v>
      </c>
      <c r="I13" s="3284" t="s">
        <v>335</v>
      </c>
      <c r="J13" s="3285"/>
      <c r="K13" s="3285"/>
      <c r="L13" s="1938"/>
      <c r="M13" s="1978"/>
      <c r="O13" s="3067"/>
      <c r="AK13" s="1548">
        <v>11</v>
      </c>
    </row>
    <row r="14" spans="1:37" ht="24" customHeight="1">
      <c r="I14" s="1931" t="s">
        <v>89</v>
      </c>
      <c r="J14" s="1931" t="s">
        <v>337</v>
      </c>
      <c r="K14" s="1931" t="s">
        <v>599</v>
      </c>
      <c r="L14" s="1971" t="s">
        <v>338</v>
      </c>
      <c r="M14" s="1972" t="s">
        <v>338</v>
      </c>
      <c r="O14" s="3067"/>
      <c r="AK14" s="1548">
        <v>23</v>
      </c>
    </row>
    <row r="15" spans="1:37" ht="24" customHeight="1">
      <c r="A15" s="1965"/>
      <c r="B15" s="1964" t="s">
        <v>658</v>
      </c>
      <c r="C15" s="1964" t="s">
        <v>659</v>
      </c>
      <c r="D15" s="1963" t="s">
        <v>660</v>
      </c>
      <c r="E15" s="1967" t="s">
        <v>661</v>
      </c>
      <c r="F15" s="1967" t="s">
        <v>661</v>
      </c>
      <c r="G15" s="1553" t="s">
        <v>621</v>
      </c>
      <c r="H15" s="1932"/>
      <c r="I15" s="1547">
        <v>1</v>
      </c>
      <c r="J15" s="1933" t="s">
        <v>662</v>
      </c>
      <c r="K15" s="1931" t="s">
        <v>341</v>
      </c>
      <c r="L15" s="596"/>
      <c r="M15" s="746"/>
      <c r="N15" s="477" t="s">
        <v>663</v>
      </c>
      <c r="O15" s="1442" t="s">
        <v>664</v>
      </c>
      <c r="P15" s="477" t="s">
        <v>663</v>
      </c>
      <c r="AK15" s="1548">
        <v>23</v>
      </c>
    </row>
    <row r="16" spans="1:37" ht="35.65" customHeight="1">
      <c r="A16" s="1965"/>
      <c r="B16" s="1964" t="s">
        <v>665</v>
      </c>
      <c r="C16" s="1964" t="s">
        <v>666</v>
      </c>
      <c r="D16" s="1963" t="s">
        <v>650</v>
      </c>
      <c r="E16" s="1967" t="s">
        <v>661</v>
      </c>
      <c r="F16" s="1967" t="s">
        <v>661</v>
      </c>
      <c r="H16" s="1932"/>
      <c r="I16" s="1546">
        <v>2</v>
      </c>
      <c r="J16" s="1974" t="s">
        <v>667</v>
      </c>
      <c r="K16" s="1973" t="s">
        <v>589</v>
      </c>
      <c r="L16" s="1979"/>
      <c r="M16" s="1593"/>
      <c r="N16" s="477" t="s">
        <v>663</v>
      </c>
      <c r="O16" s="1442" t="s">
        <v>668</v>
      </c>
      <c r="P16" s="477" t="s">
        <v>663</v>
      </c>
      <c r="AK16" s="1548">
        <v>34</v>
      </c>
    </row>
    <row r="17" spans="1:37" s="2017" customFormat="1" ht="17.25" hidden="1" customHeight="1">
      <c r="A17" s="1084"/>
      <c r="B17" s="1084"/>
      <c r="C17" s="1084"/>
      <c r="D17" s="1084"/>
      <c r="E17" s="1084"/>
      <c r="H17" s="1241"/>
      <c r="I17" s="934" t="s">
        <v>669</v>
      </c>
      <c r="J17" s="913"/>
      <c r="K17" s="934"/>
      <c r="L17" s="914"/>
      <c r="M17" s="914"/>
      <c r="O17" s="1302"/>
      <c r="AK17" s="1553">
        <v>1</v>
      </c>
    </row>
    <row r="18" spans="1:37" s="2016" customFormat="1" ht="24" customHeight="1">
      <c r="A18" s="909"/>
      <c r="B18" s="909"/>
      <c r="C18" s="909"/>
      <c r="D18" s="909"/>
      <c r="E18" s="909"/>
      <c r="G18" s="1553"/>
      <c r="H18" s="1550"/>
      <c r="I18" s="504"/>
      <c r="J18" s="505" t="s">
        <v>619</v>
      </c>
      <c r="K18" s="506"/>
      <c r="L18" s="1981"/>
      <c r="M18" s="507"/>
      <c r="N18" s="477"/>
      <c r="O18" s="1442" t="s">
        <v>620</v>
      </c>
      <c r="P18" s="477"/>
      <c r="Q18" s="1553"/>
      <c r="R18" s="1553"/>
      <c r="W18" s="1553"/>
      <c r="Z18" s="478"/>
      <c r="AF18" s="1549"/>
      <c r="AG18" s="1549"/>
      <c r="AH18" s="1549"/>
      <c r="AI18" s="1549"/>
      <c r="AJ18" s="1549"/>
      <c r="AK18" s="1283">
        <v>23</v>
      </c>
    </row>
    <row r="19" spans="1:37" ht="20" customHeight="1">
      <c r="A19" s="1965"/>
      <c r="B19" s="1964" t="s">
        <v>670</v>
      </c>
      <c r="C19" s="1964" t="s">
        <v>671</v>
      </c>
      <c r="D19" s="1963" t="s">
        <v>650</v>
      </c>
      <c r="E19" s="1967" t="s">
        <v>661</v>
      </c>
      <c r="F19" s="1967" t="s">
        <v>661</v>
      </c>
      <c r="H19" s="1932"/>
      <c r="I19" s="1581">
        <v>3</v>
      </c>
      <c r="J19" s="1933" t="s">
        <v>671</v>
      </c>
      <c r="K19" s="1929" t="s">
        <v>589</v>
      </c>
      <c r="L19" s="661"/>
      <c r="M19" s="491"/>
      <c r="N19" s="477"/>
      <c r="O19" s="1442" t="s">
        <v>672</v>
      </c>
      <c r="P19" s="477"/>
      <c r="AK19" s="1548">
        <v>19</v>
      </c>
    </row>
    <row r="20" spans="1:37" ht="77.75" customHeight="1">
      <c r="A20" s="1965"/>
      <c r="B20" s="1964" t="s">
        <v>673</v>
      </c>
      <c r="C20" s="1964" t="s">
        <v>674</v>
      </c>
      <c r="D20" s="1963" t="s">
        <v>650</v>
      </c>
      <c r="E20" s="1967" t="s">
        <v>661</v>
      </c>
      <c r="F20" s="1967" t="s">
        <v>661</v>
      </c>
      <c r="H20" s="1932"/>
      <c r="I20" s="1581">
        <v>4</v>
      </c>
      <c r="J20" s="1933" t="s">
        <v>675</v>
      </c>
      <c r="K20" s="1929" t="s">
        <v>616</v>
      </c>
      <c r="L20" s="661"/>
      <c r="M20" s="491"/>
      <c r="N20" s="477"/>
      <c r="O20" s="1442"/>
      <c r="P20" s="477"/>
      <c r="AK20" s="1548">
        <v>74</v>
      </c>
    </row>
    <row r="21" spans="1:37" ht="35.65" customHeight="1">
      <c r="A21" s="1965"/>
      <c r="B21" s="1964" t="s">
        <v>676</v>
      </c>
      <c r="C21" s="1964" t="s">
        <v>677</v>
      </c>
      <c r="D21" s="1963" t="s">
        <v>650</v>
      </c>
      <c r="E21" s="1967" t="s">
        <v>661</v>
      </c>
      <c r="F21" s="1967" t="s">
        <v>661</v>
      </c>
      <c r="H21" s="1932"/>
      <c r="I21" s="1581">
        <v>5</v>
      </c>
      <c r="J21" s="1933" t="s">
        <v>678</v>
      </c>
      <c r="K21" s="1929" t="s">
        <v>616</v>
      </c>
      <c r="L21" s="661"/>
      <c r="M21" s="491"/>
      <c r="N21" s="477"/>
      <c r="O21" s="1442" t="s">
        <v>672</v>
      </c>
      <c r="P21" s="477"/>
      <c r="AK21" s="1548">
        <v>34</v>
      </c>
    </row>
    <row r="22" spans="1:37" ht="48.25" customHeight="1">
      <c r="A22" s="1965"/>
      <c r="B22" s="1964" t="s">
        <v>679</v>
      </c>
      <c r="C22" s="1964" t="s">
        <v>680</v>
      </c>
      <c r="D22" s="1963" t="s">
        <v>650</v>
      </c>
      <c r="E22" s="1967" t="s">
        <v>661</v>
      </c>
      <c r="F22" s="1967" t="s">
        <v>661</v>
      </c>
      <c r="H22" s="1932"/>
      <c r="I22" s="1581">
        <v>6</v>
      </c>
      <c r="J22" s="1933" t="s">
        <v>681</v>
      </c>
      <c r="K22" s="1929" t="s">
        <v>616</v>
      </c>
      <c r="L22" s="661"/>
      <c r="M22" s="491"/>
      <c r="N22" s="477"/>
      <c r="O22" s="1442" t="s">
        <v>682</v>
      </c>
      <c r="P22" s="477"/>
      <c r="AK22" s="1548">
        <v>46</v>
      </c>
    </row>
    <row r="23" spans="1:37" ht="20" customHeight="1">
      <c r="A23" s="1965"/>
      <c r="B23" s="1964" t="s">
        <v>683</v>
      </c>
      <c r="C23" s="1964" t="s">
        <v>684</v>
      </c>
      <c r="D23" s="1963" t="s">
        <v>650</v>
      </c>
      <c r="E23" s="1967" t="s">
        <v>661</v>
      </c>
      <c r="F23" s="1967" t="s">
        <v>661</v>
      </c>
      <c r="H23" s="1932"/>
      <c r="I23" s="1581" t="s">
        <v>685</v>
      </c>
      <c r="J23" s="1441" t="s">
        <v>686</v>
      </c>
      <c r="K23" s="1929" t="s">
        <v>616</v>
      </c>
      <c r="L23" s="661"/>
      <c r="M23" s="491"/>
      <c r="N23" s="477"/>
      <c r="O23" s="1442" t="s">
        <v>672</v>
      </c>
      <c r="P23" s="477"/>
      <c r="AK23" s="1548">
        <v>19</v>
      </c>
    </row>
    <row r="24" spans="1:37" ht="20" customHeight="1">
      <c r="A24" s="1965"/>
      <c r="B24" s="1964" t="s">
        <v>687</v>
      </c>
      <c r="C24" s="1964" t="s">
        <v>688</v>
      </c>
      <c r="D24" s="1963" t="s">
        <v>650</v>
      </c>
      <c r="E24" s="1967" t="s">
        <v>661</v>
      </c>
      <c r="F24" s="1967" t="s">
        <v>661</v>
      </c>
      <c r="H24" s="1932"/>
      <c r="I24" s="1581" t="s">
        <v>689</v>
      </c>
      <c r="J24" s="1441" t="s">
        <v>690</v>
      </c>
      <c r="K24" s="1929" t="s">
        <v>616</v>
      </c>
      <c r="L24" s="661"/>
      <c r="M24" s="491"/>
      <c r="N24" s="477"/>
      <c r="O24" s="1442"/>
      <c r="P24" s="477"/>
      <c r="AK24" s="1548">
        <v>19</v>
      </c>
    </row>
    <row r="25" spans="1:37" ht="24" customHeight="1">
      <c r="A25" s="1965"/>
      <c r="B25" s="1964" t="s">
        <v>691</v>
      </c>
      <c r="C25" s="1964" t="s">
        <v>692</v>
      </c>
      <c r="D25" s="1963" t="s">
        <v>650</v>
      </c>
      <c r="E25" s="1967" t="s">
        <v>661</v>
      </c>
      <c r="F25" s="1967" t="s">
        <v>661</v>
      </c>
      <c r="H25" s="1932"/>
      <c r="I25" s="1581" t="s">
        <v>693</v>
      </c>
      <c r="J25" s="1441" t="s">
        <v>694</v>
      </c>
      <c r="K25" s="1929" t="s">
        <v>616</v>
      </c>
      <c r="L25" s="661"/>
      <c r="M25" s="491"/>
      <c r="N25" s="477"/>
      <c r="O25" s="1442"/>
      <c r="P25" s="477"/>
      <c r="AK25" s="1548">
        <v>23</v>
      </c>
    </row>
    <row r="26" spans="1:37" ht="24" customHeight="1">
      <c r="A26" s="1965"/>
      <c r="B26" s="1964" t="s">
        <v>695</v>
      </c>
      <c r="C26" s="1964" t="s">
        <v>696</v>
      </c>
      <c r="D26" s="1963" t="s">
        <v>650</v>
      </c>
      <c r="E26" s="1967" t="s">
        <v>661</v>
      </c>
      <c r="F26" s="1967" t="s">
        <v>661</v>
      </c>
      <c r="H26" s="1932"/>
      <c r="I26" s="1581">
        <v>7</v>
      </c>
      <c r="J26" s="1933" t="s">
        <v>696</v>
      </c>
      <c r="K26" s="1929" t="s">
        <v>697</v>
      </c>
      <c r="L26" s="661"/>
      <c r="M26" s="491"/>
      <c r="N26" s="477"/>
      <c r="O26" s="1442"/>
      <c r="P26" s="477"/>
      <c r="AK26" s="1548">
        <v>23</v>
      </c>
    </row>
    <row r="27" spans="1:37" ht="24" customHeight="1">
      <c r="A27" s="1965"/>
      <c r="B27" s="1964" t="s">
        <v>698</v>
      </c>
      <c r="C27" s="1964" t="s">
        <v>699</v>
      </c>
      <c r="D27" s="1963" t="s">
        <v>650</v>
      </c>
      <c r="E27" s="1967" t="s">
        <v>661</v>
      </c>
      <c r="F27" s="1967" t="s">
        <v>661</v>
      </c>
      <c r="H27" s="1932"/>
      <c r="I27" s="1581">
        <v>8</v>
      </c>
      <c r="J27" s="1933" t="s">
        <v>699</v>
      </c>
      <c r="K27" s="1929" t="s">
        <v>622</v>
      </c>
      <c r="L27" s="661"/>
      <c r="M27" s="491"/>
      <c r="N27" s="477"/>
      <c r="O27" s="1442"/>
      <c r="P27" s="477"/>
      <c r="AK27" s="1548">
        <v>23</v>
      </c>
    </row>
    <row r="28" spans="1:37" ht="35.65" customHeight="1">
      <c r="A28" s="1965"/>
      <c r="B28" s="1964" t="s">
        <v>700</v>
      </c>
      <c r="C28" s="1964" t="s">
        <v>701</v>
      </c>
      <c r="D28" s="1963" t="s">
        <v>650</v>
      </c>
      <c r="E28" s="1967" t="s">
        <v>661</v>
      </c>
      <c r="F28" s="1967" t="s">
        <v>661</v>
      </c>
      <c r="H28" s="1932"/>
      <c r="I28" s="1592">
        <v>9</v>
      </c>
      <c r="J28" s="1933" t="s">
        <v>702</v>
      </c>
      <c r="K28" s="1929" t="s">
        <v>593</v>
      </c>
      <c r="L28" s="661"/>
      <c r="M28" s="491"/>
      <c r="N28" s="477"/>
      <c r="O28" s="1442"/>
      <c r="P28" s="477"/>
      <c r="AK28" s="1548">
        <v>34</v>
      </c>
    </row>
    <row r="29" spans="1:37" ht="35.65" customHeight="1">
      <c r="A29" s="1965"/>
      <c r="B29" s="1964" t="s">
        <v>703</v>
      </c>
      <c r="C29" s="1964" t="s">
        <v>704</v>
      </c>
      <c r="D29" s="1963" t="s">
        <v>650</v>
      </c>
      <c r="E29" s="1967" t="s">
        <v>661</v>
      </c>
      <c r="F29" s="1967" t="s">
        <v>661</v>
      </c>
      <c r="H29" s="1932"/>
      <c r="I29" s="1592">
        <v>10</v>
      </c>
      <c r="J29" s="1933" t="s">
        <v>705</v>
      </c>
      <c r="K29" s="1929" t="s">
        <v>593</v>
      </c>
      <c r="L29" s="661"/>
      <c r="M29" s="491"/>
      <c r="N29" s="477"/>
      <c r="O29" s="1442"/>
      <c r="P29" s="477"/>
      <c r="AK29" s="1548">
        <v>34</v>
      </c>
    </row>
    <row r="30" spans="1:37" ht="24" customHeight="1">
      <c r="A30" s="1965"/>
      <c r="B30" s="1964" t="s">
        <v>706</v>
      </c>
      <c r="C30" s="1964" t="s">
        <v>707</v>
      </c>
      <c r="D30" s="1963" t="s">
        <v>650</v>
      </c>
      <c r="E30" s="1967" t="s">
        <v>661</v>
      </c>
      <c r="F30" s="1967" t="s">
        <v>661</v>
      </c>
      <c r="H30" s="1932"/>
      <c r="I30" s="1592">
        <v>11</v>
      </c>
      <c r="J30" s="1933" t="s">
        <v>707</v>
      </c>
      <c r="K30" s="1929" t="s">
        <v>623</v>
      </c>
      <c r="L30" s="1980"/>
      <c r="M30" s="1538"/>
      <c r="N30" s="477"/>
      <c r="O30" s="1442"/>
      <c r="P30" s="477"/>
      <c r="AK30" s="1548">
        <v>23</v>
      </c>
    </row>
    <row r="31" spans="1:37" ht="24" customHeight="1">
      <c r="A31" s="1965"/>
      <c r="B31" s="1964" t="s">
        <v>708</v>
      </c>
      <c r="C31" s="1964" t="s">
        <v>709</v>
      </c>
      <c r="D31" s="1963" t="s">
        <v>650</v>
      </c>
      <c r="E31" s="1967" t="s">
        <v>661</v>
      </c>
      <c r="F31" s="1967" t="s">
        <v>661</v>
      </c>
      <c r="H31" s="1932"/>
      <c r="I31" s="1592">
        <v>12</v>
      </c>
      <c r="J31" s="1933" t="s">
        <v>709</v>
      </c>
      <c r="K31" s="1929" t="s">
        <v>623</v>
      </c>
      <c r="L31" s="1980"/>
      <c r="M31" s="1538"/>
      <c r="N31" s="477"/>
      <c r="O31" s="1442"/>
      <c r="P31" s="477"/>
      <c r="AK31" s="1548">
        <v>23</v>
      </c>
    </row>
    <row r="32" spans="1:37" ht="48.25" customHeight="1">
      <c r="A32" s="1965"/>
      <c r="B32" s="1964" t="s">
        <v>710</v>
      </c>
      <c r="C32" s="1964" t="s">
        <v>711</v>
      </c>
      <c r="D32" s="1963" t="s">
        <v>650</v>
      </c>
      <c r="E32" s="1967" t="s">
        <v>661</v>
      </c>
      <c r="F32" s="1967" t="s">
        <v>661</v>
      </c>
      <c r="H32" s="1932"/>
      <c r="I32" s="1592">
        <v>13</v>
      </c>
      <c r="J32" s="1933" t="s">
        <v>712</v>
      </c>
      <c r="K32" s="1929" t="s">
        <v>633</v>
      </c>
      <c r="L32" s="661"/>
      <c r="M32" s="491"/>
      <c r="N32" s="477"/>
      <c r="O32" s="1442" t="s">
        <v>672</v>
      </c>
      <c r="P32" s="477"/>
      <c r="AK32" s="1548">
        <v>46</v>
      </c>
    </row>
    <row r="33" spans="1:37" s="2016" customFormat="1" ht="48.25" customHeight="1">
      <c r="A33" s="1965"/>
      <c r="B33" s="1964" t="s">
        <v>713</v>
      </c>
      <c r="C33" s="1964" t="s">
        <v>714</v>
      </c>
      <c r="D33" s="1963" t="s">
        <v>650</v>
      </c>
      <c r="E33" s="1967" t="s">
        <v>661</v>
      </c>
      <c r="F33" s="1967" t="s">
        <v>661</v>
      </c>
      <c r="G33" s="1553"/>
      <c r="H33" s="1932"/>
      <c r="I33" s="1592">
        <v>14</v>
      </c>
      <c r="J33" s="1945" t="s">
        <v>715</v>
      </c>
      <c r="K33" s="1934" t="s">
        <v>716</v>
      </c>
      <c r="L33" s="661"/>
      <c r="M33" s="491"/>
      <c r="N33" s="477"/>
      <c r="O33" s="1442" t="s">
        <v>672</v>
      </c>
      <c r="P33" s="477"/>
      <c r="Q33" s="1553"/>
      <c r="R33" s="1553"/>
      <c r="W33" s="1553"/>
      <c r="Z33" s="478"/>
      <c r="AF33" s="1549"/>
      <c r="AG33" s="1549"/>
      <c r="AH33" s="1549"/>
      <c r="AI33" s="1549"/>
      <c r="AJ33" s="1549"/>
      <c r="AK33" s="1283">
        <v>46</v>
      </c>
    </row>
    <row r="34" spans="1:37" ht="108" customHeight="1">
      <c r="A34" s="1965"/>
      <c r="B34" s="1964" t="s">
        <v>717</v>
      </c>
      <c r="C34" s="1964" t="s">
        <v>718</v>
      </c>
      <c r="D34" s="1963" t="s">
        <v>660</v>
      </c>
      <c r="E34" s="1967" t="s">
        <v>661</v>
      </c>
      <c r="F34" s="1967" t="s">
        <v>661</v>
      </c>
      <c r="G34" s="1553" t="s">
        <v>621</v>
      </c>
      <c r="H34" s="1932"/>
      <c r="I34" s="1943">
        <v>15</v>
      </c>
      <c r="J34" s="1944" t="s">
        <v>719</v>
      </c>
      <c r="K34" s="1929" t="s">
        <v>341</v>
      </c>
      <c r="L34" s="319"/>
      <c r="M34" s="1081"/>
      <c r="N34" s="477"/>
      <c r="O34" s="1442" t="s">
        <v>664</v>
      </c>
      <c r="P34" s="477"/>
      <c r="AK34" s="1548">
        <v>103</v>
      </c>
    </row>
    <row r="35" spans="1:37" s="2212" customFormat="1" ht="11.5" customHeight="1">
      <c r="A35" s="909"/>
      <c r="B35" s="909"/>
      <c r="C35" s="909"/>
      <c r="D35" s="909"/>
      <c r="E35" s="909"/>
      <c r="F35" s="1553"/>
      <c r="G35" s="1553"/>
      <c r="H35" s="285"/>
      <c r="N35" s="1283"/>
      <c r="P35" s="1283"/>
      <c r="Q35" s="1553"/>
      <c r="R35" s="1553"/>
      <c r="S35" s="1283"/>
      <c r="T35" s="1283"/>
      <c r="U35" s="1283"/>
      <c r="V35" s="1283"/>
      <c r="W35" s="1553"/>
      <c r="X35" s="1283"/>
      <c r="Y35" s="1283"/>
      <c r="Z35" s="478"/>
      <c r="AA35" s="1283"/>
      <c r="AB35" s="1283"/>
      <c r="AC35" s="1283"/>
      <c r="AD35" s="1283"/>
      <c r="AE35" s="1283"/>
      <c r="AF35" s="1549"/>
      <c r="AG35" s="556"/>
      <c r="AH35" s="556"/>
      <c r="AI35" s="556"/>
      <c r="AJ35" s="556"/>
      <c r="AK35" s="1558">
        <v>11</v>
      </c>
    </row>
    <row r="36" spans="1:37" s="2212" customFormat="1" ht="11.5" customHeight="1">
      <c r="A36" s="909"/>
      <c r="B36" s="909"/>
      <c r="C36" s="909"/>
      <c r="D36" s="909"/>
      <c r="E36" s="909"/>
      <c r="F36" s="1553"/>
      <c r="G36" s="1553"/>
      <c r="H36" s="285"/>
      <c r="N36" s="1283"/>
      <c r="P36" s="1283"/>
      <c r="Q36" s="1553"/>
      <c r="R36" s="1553"/>
      <c r="S36" s="1283"/>
      <c r="T36" s="1283"/>
      <c r="U36" s="1283"/>
      <c r="V36" s="1283"/>
      <c r="W36" s="1553"/>
      <c r="X36" s="1283"/>
      <c r="Y36" s="1283"/>
      <c r="Z36" s="478"/>
      <c r="AA36" s="1283"/>
      <c r="AB36" s="1283"/>
      <c r="AC36" s="1283"/>
      <c r="AD36" s="1283"/>
      <c r="AE36" s="1283"/>
      <c r="AF36" s="1549"/>
      <c r="AG36" s="556"/>
      <c r="AH36" s="556"/>
      <c r="AI36" s="556"/>
      <c r="AJ36" s="556"/>
      <c r="AK36" s="1558">
        <v>11</v>
      </c>
    </row>
    <row r="37" spans="1:37" s="2212" customFormat="1" ht="11.5" customHeight="1">
      <c r="A37" s="909"/>
      <c r="B37" s="909"/>
      <c r="C37" s="909"/>
      <c r="D37" s="909"/>
      <c r="E37" s="909"/>
      <c r="F37" s="1553"/>
      <c r="G37" s="1553"/>
      <c r="H37" s="285"/>
      <c r="L37" s="556"/>
      <c r="M37" s="556"/>
      <c r="N37" s="1283"/>
      <c r="P37" s="1283"/>
      <c r="Q37" s="1553"/>
      <c r="R37" s="1553"/>
      <c r="S37" s="1283"/>
      <c r="T37" s="1283"/>
      <c r="U37" s="1283"/>
      <c r="V37" s="1283"/>
      <c r="W37" s="1553"/>
      <c r="X37" s="1283"/>
      <c r="Y37" s="1283"/>
      <c r="Z37" s="478"/>
      <c r="AA37" s="1283"/>
      <c r="AB37" s="1283"/>
      <c r="AC37" s="1283"/>
      <c r="AD37" s="1283"/>
      <c r="AE37" s="1283"/>
      <c r="AF37" s="1549"/>
      <c r="AG37" s="556"/>
      <c r="AH37" s="556"/>
      <c r="AI37" s="556"/>
      <c r="AJ37" s="556"/>
      <c r="AK37" s="1558">
        <v>11</v>
      </c>
    </row>
    <row r="38" spans="1:37" s="2212" customFormat="1" ht="11.5" customHeight="1">
      <c r="A38" s="909"/>
      <c r="B38" s="909"/>
      <c r="C38" s="909"/>
      <c r="D38" s="909"/>
      <c r="E38" s="909"/>
      <c r="F38" s="1553"/>
      <c r="G38" s="1553"/>
      <c r="H38" s="285"/>
      <c r="N38" s="1283"/>
      <c r="P38" s="1283"/>
      <c r="Q38" s="1553"/>
      <c r="R38" s="1553"/>
      <c r="S38" s="1283"/>
      <c r="T38" s="1283"/>
      <c r="U38" s="1283"/>
      <c r="V38" s="1283"/>
      <c r="W38" s="1553"/>
      <c r="X38" s="1283"/>
      <c r="Y38" s="1283"/>
      <c r="Z38" s="478"/>
      <c r="AA38" s="1283"/>
      <c r="AB38" s="1283"/>
      <c r="AC38" s="1283"/>
      <c r="AD38" s="1283"/>
      <c r="AE38" s="1283"/>
      <c r="AF38" s="1549"/>
      <c r="AG38" s="556"/>
      <c r="AH38" s="556"/>
      <c r="AI38" s="556"/>
      <c r="AJ38" s="556"/>
      <c r="AK38" s="1558">
        <v>11</v>
      </c>
    </row>
    <row r="39" spans="1:37" s="2212" customFormat="1" ht="11.5" customHeight="1">
      <c r="A39" s="909"/>
      <c r="B39" s="909"/>
      <c r="C39" s="909"/>
      <c r="D39" s="909"/>
      <c r="E39" s="909"/>
      <c r="F39" s="1553"/>
      <c r="G39" s="1553"/>
      <c r="H39" s="285"/>
      <c r="N39" s="1283"/>
      <c r="P39" s="1283"/>
      <c r="Q39" s="1553"/>
      <c r="R39" s="1553"/>
      <c r="S39" s="1283"/>
      <c r="T39" s="1283"/>
      <c r="U39" s="1283"/>
      <c r="V39" s="1283"/>
      <c r="W39" s="1553"/>
      <c r="X39" s="1283"/>
      <c r="Y39" s="1283"/>
      <c r="Z39" s="478"/>
      <c r="AA39" s="1283"/>
      <c r="AB39" s="1283"/>
      <c r="AC39" s="1283"/>
      <c r="AD39" s="1283"/>
      <c r="AE39" s="1283"/>
      <c r="AF39" s="1549"/>
      <c r="AG39" s="556"/>
      <c r="AH39" s="556"/>
      <c r="AI39" s="556"/>
      <c r="AJ39" s="556"/>
      <c r="AK39" s="1558">
        <v>11</v>
      </c>
    </row>
    <row r="40" spans="1:37" s="2212" customFormat="1" ht="11.5" customHeight="1">
      <c r="A40" s="909"/>
      <c r="B40" s="909"/>
      <c r="C40" s="909"/>
      <c r="D40" s="909"/>
      <c r="E40" s="909"/>
      <c r="F40" s="1553"/>
      <c r="G40" s="1553"/>
      <c r="H40" s="285"/>
      <c r="N40" s="1283"/>
      <c r="P40" s="1283"/>
      <c r="Q40" s="1553"/>
      <c r="R40" s="1553"/>
      <c r="S40" s="1283"/>
      <c r="T40" s="1283"/>
      <c r="U40" s="1283"/>
      <c r="V40" s="1283"/>
      <c r="W40" s="1553"/>
      <c r="X40" s="1283"/>
      <c r="Y40" s="1283"/>
      <c r="Z40" s="478"/>
      <c r="AA40" s="1283"/>
      <c r="AB40" s="1283"/>
      <c r="AC40" s="1283"/>
      <c r="AD40" s="1283"/>
      <c r="AE40" s="1283"/>
      <c r="AF40" s="1549"/>
      <c r="AG40" s="556"/>
      <c r="AH40" s="556"/>
      <c r="AI40" s="556"/>
      <c r="AJ40" s="556"/>
      <c r="AK40" s="1558">
        <v>11</v>
      </c>
    </row>
    <row r="41" spans="1:37" s="2212" customFormat="1" ht="11.5" customHeight="1">
      <c r="A41" s="909"/>
      <c r="B41" s="909"/>
      <c r="C41" s="909"/>
      <c r="D41" s="909"/>
      <c r="E41" s="909"/>
      <c r="F41" s="1553"/>
      <c r="G41" s="1553"/>
      <c r="H41" s="285"/>
      <c r="N41" s="1283"/>
      <c r="P41" s="1283"/>
      <c r="Q41" s="1553"/>
      <c r="R41" s="1553"/>
      <c r="S41" s="1283"/>
      <c r="T41" s="1283"/>
      <c r="U41" s="1283"/>
      <c r="V41" s="1283"/>
      <c r="W41" s="1553"/>
      <c r="X41" s="1283"/>
      <c r="Y41" s="1283"/>
      <c r="Z41" s="478"/>
      <c r="AA41" s="1283"/>
      <c r="AB41" s="1283"/>
      <c r="AC41" s="1283"/>
      <c r="AD41" s="1283"/>
      <c r="AE41" s="1283"/>
      <c r="AF41" s="1549"/>
      <c r="AG41" s="556"/>
      <c r="AH41" s="556"/>
      <c r="AI41" s="556"/>
      <c r="AJ41" s="556"/>
      <c r="AK41" s="1558">
        <v>11</v>
      </c>
    </row>
    <row r="42" spans="1:37" s="2212" customFormat="1" ht="11.5" customHeight="1">
      <c r="A42" s="909"/>
      <c r="B42" s="909"/>
      <c r="C42" s="909"/>
      <c r="D42" s="909"/>
      <c r="E42" s="909"/>
      <c r="F42" s="1553"/>
      <c r="G42" s="1553"/>
      <c r="H42" s="285"/>
      <c r="N42" s="1283"/>
      <c r="P42" s="1283"/>
      <c r="Q42" s="1553"/>
      <c r="R42" s="1553"/>
      <c r="S42" s="1283"/>
      <c r="T42" s="1283"/>
      <c r="U42" s="1283"/>
      <c r="V42" s="1283"/>
      <c r="W42" s="1553"/>
      <c r="X42" s="1283"/>
      <c r="Y42" s="1283"/>
      <c r="Z42" s="478"/>
      <c r="AA42" s="1283"/>
      <c r="AB42" s="1283"/>
      <c r="AC42" s="1283"/>
      <c r="AD42" s="1283"/>
      <c r="AE42" s="1283"/>
      <c r="AF42" s="1549"/>
      <c r="AG42" s="556"/>
      <c r="AH42" s="556"/>
      <c r="AI42" s="556"/>
      <c r="AJ42" s="556"/>
      <c r="AK42" s="1558">
        <v>11</v>
      </c>
    </row>
    <row r="43" spans="1:37" s="2212" customFormat="1" ht="11.5" customHeight="1">
      <c r="A43" s="909"/>
      <c r="B43" s="909"/>
      <c r="C43" s="909"/>
      <c r="D43" s="909"/>
      <c r="E43" s="909"/>
      <c r="F43" s="1553"/>
      <c r="G43" s="1553"/>
      <c r="H43" s="285"/>
      <c r="N43" s="1283"/>
      <c r="P43" s="1283"/>
      <c r="Q43" s="1553"/>
      <c r="R43" s="1553"/>
      <c r="S43" s="1283"/>
      <c r="T43" s="1283"/>
      <c r="U43" s="1283"/>
      <c r="V43" s="1283"/>
      <c r="W43" s="1553"/>
      <c r="X43" s="1283"/>
      <c r="Y43" s="1283"/>
      <c r="Z43" s="478"/>
      <c r="AA43" s="1283"/>
      <c r="AB43" s="1283"/>
      <c r="AC43" s="1283"/>
      <c r="AD43" s="1283"/>
      <c r="AE43" s="1283"/>
      <c r="AF43" s="1549"/>
      <c r="AG43" s="556"/>
      <c r="AH43" s="556"/>
      <c r="AI43" s="556"/>
      <c r="AJ43" s="556"/>
      <c r="AK43" s="1558">
        <v>11</v>
      </c>
    </row>
    <row r="44" spans="1:37" s="2212" customFormat="1" ht="11.5" customHeight="1">
      <c r="A44" s="909"/>
      <c r="B44" s="909"/>
      <c r="C44" s="909"/>
      <c r="D44" s="909"/>
      <c r="E44" s="909"/>
      <c r="F44" s="1553"/>
      <c r="G44" s="1553"/>
      <c r="H44" s="285"/>
      <c r="N44" s="1283"/>
      <c r="P44" s="1283"/>
      <c r="Q44" s="1553"/>
      <c r="R44" s="1553"/>
      <c r="S44" s="1283"/>
      <c r="T44" s="1283"/>
      <c r="U44" s="1283"/>
      <c r="V44" s="1283"/>
      <c r="W44" s="1553"/>
      <c r="X44" s="1283"/>
      <c r="Y44" s="1283"/>
      <c r="Z44" s="478"/>
      <c r="AA44" s="1283"/>
      <c r="AB44" s="1283"/>
      <c r="AC44" s="1283"/>
      <c r="AD44" s="1283"/>
      <c r="AE44" s="1283"/>
      <c r="AF44" s="1549"/>
      <c r="AG44" s="556"/>
      <c r="AH44" s="556"/>
      <c r="AI44" s="556"/>
      <c r="AJ44" s="556"/>
      <c r="AK44" s="1558">
        <v>11</v>
      </c>
    </row>
    <row r="45" spans="1:37" s="2212" customFormat="1" ht="11.5" customHeight="1">
      <c r="A45" s="909"/>
      <c r="B45" s="909"/>
      <c r="C45" s="909"/>
      <c r="D45" s="909"/>
      <c r="E45" s="909"/>
      <c r="F45" s="1553"/>
      <c r="G45" s="1553"/>
      <c r="H45" s="285"/>
      <c r="N45" s="1283"/>
      <c r="P45" s="1283"/>
      <c r="Q45" s="1553"/>
      <c r="R45" s="1553"/>
      <c r="S45" s="1283"/>
      <c r="T45" s="1283"/>
      <c r="U45" s="1283"/>
      <c r="V45" s="1283"/>
      <c r="W45" s="1553"/>
      <c r="X45" s="1283"/>
      <c r="Y45" s="1283"/>
      <c r="Z45" s="478"/>
      <c r="AA45" s="1283"/>
      <c r="AB45" s="1283"/>
      <c r="AC45" s="1283"/>
      <c r="AD45" s="1283"/>
      <c r="AE45" s="1283"/>
      <c r="AF45" s="1549"/>
      <c r="AG45" s="556"/>
      <c r="AH45" s="556"/>
      <c r="AI45" s="556"/>
      <c r="AJ45" s="556"/>
      <c r="AK45" s="1558">
        <v>11</v>
      </c>
    </row>
    <row r="46" spans="1:37" s="2212" customFormat="1" ht="11.5" customHeight="1">
      <c r="A46" s="909"/>
      <c r="B46" s="909"/>
      <c r="C46" s="909"/>
      <c r="D46" s="909"/>
      <c r="E46" s="909"/>
      <c r="F46" s="1553"/>
      <c r="G46" s="1553"/>
      <c r="H46" s="285"/>
      <c r="N46" s="1283"/>
      <c r="P46" s="1283"/>
      <c r="Q46" s="1553"/>
      <c r="R46" s="1553"/>
      <c r="S46" s="1283"/>
      <c r="T46" s="1283"/>
      <c r="U46" s="1283"/>
      <c r="V46" s="1283"/>
      <c r="W46" s="1553"/>
      <c r="X46" s="1283"/>
      <c r="Y46" s="1283"/>
      <c r="Z46" s="478"/>
      <c r="AA46" s="1283"/>
      <c r="AB46" s="1283"/>
      <c r="AC46" s="1283"/>
      <c r="AD46" s="1283"/>
      <c r="AE46" s="1283"/>
      <c r="AF46" s="1549"/>
      <c r="AG46" s="556"/>
      <c r="AH46" s="556"/>
      <c r="AI46" s="556"/>
      <c r="AJ46" s="556"/>
      <c r="AK46" s="1558">
        <v>11</v>
      </c>
    </row>
    <row r="47" spans="1:37" s="2212" customFormat="1" ht="11.5" customHeight="1">
      <c r="A47" s="909"/>
      <c r="B47" s="909"/>
      <c r="C47" s="909"/>
      <c r="D47" s="909"/>
      <c r="E47" s="909"/>
      <c r="F47" s="1553"/>
      <c r="G47" s="1553"/>
      <c r="H47" s="285"/>
      <c r="N47" s="1283"/>
      <c r="P47" s="1283"/>
      <c r="Q47" s="1553"/>
      <c r="R47" s="1553"/>
      <c r="S47" s="1283"/>
      <c r="T47" s="1283"/>
      <c r="U47" s="1283"/>
      <c r="V47" s="1283"/>
      <c r="W47" s="1553"/>
      <c r="X47" s="1283"/>
      <c r="Y47" s="1283"/>
      <c r="Z47" s="478"/>
      <c r="AA47" s="1283"/>
      <c r="AB47" s="1283"/>
      <c r="AC47" s="1283"/>
      <c r="AD47" s="1283"/>
      <c r="AE47" s="1283"/>
      <c r="AF47" s="1549"/>
      <c r="AG47" s="556"/>
      <c r="AH47" s="556"/>
      <c r="AI47" s="556"/>
      <c r="AJ47" s="556"/>
      <c r="AK47" s="1558">
        <v>11</v>
      </c>
    </row>
    <row r="48" spans="1:37" s="2212" customFormat="1" ht="11.5" customHeight="1">
      <c r="A48" s="909"/>
      <c r="B48" s="909"/>
      <c r="C48" s="909"/>
      <c r="D48" s="909"/>
      <c r="E48" s="909"/>
      <c r="F48" s="1553"/>
      <c r="G48" s="1553"/>
      <c r="H48" s="285"/>
      <c r="N48" s="1283"/>
      <c r="P48" s="1283"/>
      <c r="Q48" s="1553"/>
      <c r="R48" s="1553"/>
      <c r="S48" s="1283"/>
      <c r="T48" s="1283"/>
      <c r="U48" s="1283"/>
      <c r="V48" s="1283"/>
      <c r="W48" s="1553"/>
      <c r="X48" s="1283"/>
      <c r="Y48" s="1283"/>
      <c r="Z48" s="478"/>
      <c r="AA48" s="1283"/>
      <c r="AB48" s="1283"/>
      <c r="AC48" s="1283"/>
      <c r="AD48" s="1283"/>
      <c r="AE48" s="1283"/>
      <c r="AF48" s="1549"/>
      <c r="AG48" s="556"/>
      <c r="AH48" s="556"/>
      <c r="AI48" s="556"/>
      <c r="AJ48" s="556"/>
      <c r="AK48" s="1558">
        <v>11</v>
      </c>
    </row>
    <row r="49" spans="1:37" s="2212" customFormat="1" ht="11.5" customHeight="1">
      <c r="A49" s="909"/>
      <c r="B49" s="909"/>
      <c r="C49" s="909"/>
      <c r="D49" s="909"/>
      <c r="E49" s="909"/>
      <c r="F49" s="1553"/>
      <c r="G49" s="1553"/>
      <c r="H49" s="285"/>
      <c r="N49" s="1283"/>
      <c r="P49" s="1283"/>
      <c r="Q49" s="1553"/>
      <c r="R49" s="1553"/>
      <c r="S49" s="1283"/>
      <c r="T49" s="1283"/>
      <c r="U49" s="1283"/>
      <c r="V49" s="1283"/>
      <c r="W49" s="1553"/>
      <c r="X49" s="1283"/>
      <c r="Y49" s="1283"/>
      <c r="Z49" s="478"/>
      <c r="AA49" s="1283"/>
      <c r="AB49" s="1283"/>
      <c r="AC49" s="1283"/>
      <c r="AD49" s="1283"/>
      <c r="AE49" s="1283"/>
      <c r="AF49" s="1549"/>
      <c r="AG49" s="556"/>
      <c r="AH49" s="556"/>
      <c r="AI49" s="556"/>
      <c r="AJ49" s="556"/>
      <c r="AK49" s="1558">
        <v>11</v>
      </c>
    </row>
    <row r="50" spans="1:37" s="2212" customFormat="1" ht="11.5" customHeight="1">
      <c r="A50" s="909"/>
      <c r="B50" s="909"/>
      <c r="C50" s="909"/>
      <c r="D50" s="909"/>
      <c r="E50" s="909"/>
      <c r="F50" s="1553"/>
      <c r="G50" s="1553"/>
      <c r="H50" s="285"/>
      <c r="N50" s="1283"/>
      <c r="P50" s="1283"/>
      <c r="Q50" s="1553"/>
      <c r="R50" s="1553"/>
      <c r="S50" s="1283"/>
      <c r="T50" s="1283"/>
      <c r="U50" s="1283"/>
      <c r="V50" s="1283"/>
      <c r="W50" s="1553"/>
      <c r="X50" s="1283"/>
      <c r="Y50" s="1283"/>
      <c r="Z50" s="478"/>
      <c r="AA50" s="1283"/>
      <c r="AB50" s="1283"/>
      <c r="AC50" s="1283"/>
      <c r="AD50" s="1283"/>
      <c r="AE50" s="1283"/>
      <c r="AF50" s="1549"/>
      <c r="AG50" s="556"/>
      <c r="AH50" s="556"/>
      <c r="AI50" s="556"/>
      <c r="AJ50" s="556"/>
      <c r="AK50" s="1558">
        <v>11</v>
      </c>
    </row>
    <row r="51" spans="1:37" s="2212" customFormat="1" ht="11.5" customHeight="1">
      <c r="A51" s="909"/>
      <c r="B51" s="909"/>
      <c r="C51" s="909"/>
      <c r="D51" s="909"/>
      <c r="E51" s="909"/>
      <c r="F51" s="1553"/>
      <c r="G51" s="1553"/>
      <c r="H51" s="285"/>
      <c r="N51" s="1283"/>
      <c r="P51" s="1283"/>
      <c r="Q51" s="1553"/>
      <c r="R51" s="1553"/>
      <c r="S51" s="1283"/>
      <c r="T51" s="1283"/>
      <c r="U51" s="1283"/>
      <c r="V51" s="1283"/>
      <c r="W51" s="1553"/>
      <c r="X51" s="1283"/>
      <c r="Y51" s="1283"/>
      <c r="Z51" s="478"/>
      <c r="AA51" s="1283"/>
      <c r="AB51" s="1283"/>
      <c r="AC51" s="1283"/>
      <c r="AD51" s="1283"/>
      <c r="AE51" s="1283"/>
      <c r="AF51" s="1549"/>
      <c r="AG51" s="556"/>
      <c r="AH51" s="556"/>
      <c r="AI51" s="556"/>
      <c r="AJ51" s="556"/>
      <c r="AK51" s="1558">
        <v>11</v>
      </c>
    </row>
    <row r="52" spans="1:37" s="2212" customFormat="1" ht="11.5" customHeight="1">
      <c r="A52" s="909"/>
      <c r="B52" s="909"/>
      <c r="C52" s="909"/>
      <c r="D52" s="909"/>
      <c r="E52" s="909"/>
      <c r="F52" s="1553"/>
      <c r="G52" s="1553"/>
      <c r="H52" s="285"/>
      <c r="N52" s="1283"/>
      <c r="P52" s="1283"/>
      <c r="Q52" s="1553"/>
      <c r="R52" s="1553"/>
      <c r="S52" s="1283"/>
      <c r="T52" s="1283"/>
      <c r="U52" s="1283"/>
      <c r="V52" s="1283"/>
      <c r="W52" s="1553"/>
      <c r="X52" s="1283"/>
      <c r="Y52" s="1283"/>
      <c r="Z52" s="478"/>
      <c r="AA52" s="1283"/>
      <c r="AB52" s="1283"/>
      <c r="AC52" s="1283"/>
      <c r="AD52" s="1283"/>
      <c r="AE52" s="1283"/>
      <c r="AF52" s="1549"/>
      <c r="AG52" s="556"/>
      <c r="AH52" s="556"/>
      <c r="AI52" s="556"/>
      <c r="AJ52" s="556"/>
      <c r="AK52" s="1558">
        <v>11</v>
      </c>
    </row>
    <row r="53" spans="1:37" s="2212" customFormat="1" ht="11.5" customHeight="1">
      <c r="A53" s="909"/>
      <c r="B53" s="909"/>
      <c r="C53" s="909"/>
      <c r="D53" s="909"/>
      <c r="E53" s="909"/>
      <c r="F53" s="1553"/>
      <c r="G53" s="1553"/>
      <c r="H53" s="285"/>
      <c r="N53" s="1283"/>
      <c r="P53" s="1283"/>
      <c r="Q53" s="1553"/>
      <c r="R53" s="1553"/>
      <c r="S53" s="1283"/>
      <c r="T53" s="1283"/>
      <c r="U53" s="1283"/>
      <c r="V53" s="1283"/>
      <c r="W53" s="1553"/>
      <c r="X53" s="1283"/>
      <c r="Y53" s="1283"/>
      <c r="Z53" s="478"/>
      <c r="AA53" s="1283"/>
      <c r="AB53" s="1283"/>
      <c r="AC53" s="1283"/>
      <c r="AD53" s="1283"/>
      <c r="AE53" s="1283"/>
      <c r="AF53" s="1549"/>
      <c r="AG53" s="556"/>
      <c r="AH53" s="556"/>
      <c r="AI53" s="556"/>
      <c r="AJ53" s="556"/>
      <c r="AK53" s="1558">
        <v>11</v>
      </c>
    </row>
    <row r="54" spans="1:37" s="2212" customFormat="1" ht="11.5" customHeight="1">
      <c r="A54" s="909"/>
      <c r="B54" s="909"/>
      <c r="C54" s="909"/>
      <c r="D54" s="909"/>
      <c r="E54" s="909"/>
      <c r="F54" s="1553"/>
      <c r="G54" s="1553"/>
      <c r="H54" s="285"/>
      <c r="N54" s="1283"/>
      <c r="P54" s="1283"/>
      <c r="Q54" s="1553"/>
      <c r="R54" s="1553"/>
      <c r="S54" s="1283"/>
      <c r="T54" s="1283"/>
      <c r="U54" s="1283"/>
      <c r="V54" s="1283"/>
      <c r="W54" s="1553"/>
      <c r="X54" s="1283"/>
      <c r="Y54" s="1283"/>
      <c r="Z54" s="478"/>
      <c r="AA54" s="1283"/>
      <c r="AB54" s="1283"/>
      <c r="AC54" s="1283"/>
      <c r="AD54" s="1283"/>
      <c r="AE54" s="1283"/>
      <c r="AF54" s="1549"/>
      <c r="AG54" s="556"/>
      <c r="AH54" s="556"/>
      <c r="AI54" s="556"/>
      <c r="AJ54" s="556"/>
      <c r="AK54" s="1558">
        <v>11</v>
      </c>
    </row>
    <row r="55" spans="1:37" s="2212" customFormat="1" ht="11.5" customHeight="1">
      <c r="A55" s="909"/>
      <c r="B55" s="909"/>
      <c r="C55" s="909"/>
      <c r="D55" s="909"/>
      <c r="E55" s="909"/>
      <c r="F55" s="1553"/>
      <c r="G55" s="1553"/>
      <c r="H55" s="285"/>
      <c r="N55" s="1283"/>
      <c r="P55" s="1283"/>
      <c r="Q55" s="1553"/>
      <c r="R55" s="1553"/>
      <c r="S55" s="1283"/>
      <c r="T55" s="1283"/>
      <c r="U55" s="1283"/>
      <c r="V55" s="1283"/>
      <c r="W55" s="1553"/>
      <c r="X55" s="1283"/>
      <c r="Y55" s="1283"/>
      <c r="Z55" s="478"/>
      <c r="AA55" s="1283"/>
      <c r="AB55" s="1283"/>
      <c r="AC55" s="1283"/>
      <c r="AD55" s="1283"/>
      <c r="AE55" s="1283"/>
      <c r="AF55" s="1549"/>
      <c r="AG55" s="556"/>
      <c r="AH55" s="556"/>
      <c r="AI55" s="556"/>
      <c r="AJ55" s="556"/>
      <c r="AK55" s="1558">
        <v>11</v>
      </c>
    </row>
    <row r="56" spans="1:37" s="2212" customFormat="1" ht="11.5" customHeight="1">
      <c r="A56" s="909"/>
      <c r="B56" s="909"/>
      <c r="C56" s="909"/>
      <c r="D56" s="909"/>
      <c r="E56" s="909"/>
      <c r="F56" s="1553"/>
      <c r="G56" s="1553"/>
      <c r="H56" s="285"/>
      <c r="N56" s="1283"/>
      <c r="P56" s="1283"/>
      <c r="Q56" s="1553"/>
      <c r="R56" s="1553"/>
      <c r="S56" s="1283"/>
      <c r="T56" s="1283"/>
      <c r="U56" s="1283"/>
      <c r="V56" s="1283"/>
      <c r="W56" s="1553"/>
      <c r="X56" s="1283"/>
      <c r="Y56" s="1283"/>
      <c r="Z56" s="478"/>
      <c r="AA56" s="1283"/>
      <c r="AB56" s="1283"/>
      <c r="AC56" s="1283"/>
      <c r="AD56" s="1283"/>
      <c r="AE56" s="1283"/>
      <c r="AF56" s="1549"/>
      <c r="AG56" s="556"/>
      <c r="AH56" s="556"/>
      <c r="AI56" s="556"/>
      <c r="AJ56" s="556"/>
      <c r="AK56" s="1558">
        <v>11</v>
      </c>
    </row>
    <row r="57" spans="1:37" s="2212" customFormat="1" ht="11.5" customHeight="1">
      <c r="A57" s="909"/>
      <c r="B57" s="909"/>
      <c r="C57" s="909"/>
      <c r="D57" s="909"/>
      <c r="E57" s="909"/>
      <c r="F57" s="1553"/>
      <c r="G57" s="1553"/>
      <c r="H57" s="285"/>
      <c r="N57" s="1283"/>
      <c r="P57" s="1283"/>
      <c r="Q57" s="1553"/>
      <c r="R57" s="1553"/>
      <c r="S57" s="1283"/>
      <c r="T57" s="1283"/>
      <c r="U57" s="1283"/>
      <c r="V57" s="1283"/>
      <c r="W57" s="1553"/>
      <c r="X57" s="1283"/>
      <c r="Y57" s="1283"/>
      <c r="Z57" s="478"/>
      <c r="AA57" s="1283"/>
      <c r="AB57" s="1283"/>
      <c r="AC57" s="1283"/>
      <c r="AD57" s="1283"/>
      <c r="AE57" s="1283"/>
      <c r="AF57" s="1549"/>
      <c r="AG57" s="556"/>
      <c r="AH57" s="556"/>
      <c r="AI57" s="556"/>
      <c r="AJ57" s="556"/>
      <c r="AK57" s="1558">
        <v>11</v>
      </c>
    </row>
    <row r="58" spans="1:37" s="2212" customFormat="1" ht="11.5" customHeight="1">
      <c r="A58" s="909"/>
      <c r="B58" s="909"/>
      <c r="C58" s="909"/>
      <c r="D58" s="909"/>
      <c r="E58" s="909"/>
      <c r="F58" s="1553"/>
      <c r="G58" s="1553"/>
      <c r="H58" s="285"/>
      <c r="N58" s="1283"/>
      <c r="P58" s="1283"/>
      <c r="Q58" s="1553"/>
      <c r="R58" s="1553"/>
      <c r="S58" s="1283"/>
      <c r="T58" s="1283"/>
      <c r="U58" s="1283"/>
      <c r="V58" s="1283"/>
      <c r="W58" s="1553"/>
      <c r="X58" s="1283"/>
      <c r="Y58" s="1283"/>
      <c r="Z58" s="478"/>
      <c r="AA58" s="1283"/>
      <c r="AB58" s="1283"/>
      <c r="AC58" s="1283"/>
      <c r="AD58" s="1283"/>
      <c r="AE58" s="1283"/>
      <c r="AF58" s="1549"/>
      <c r="AG58" s="556"/>
      <c r="AH58" s="556"/>
      <c r="AI58" s="556"/>
      <c r="AJ58" s="556"/>
      <c r="AK58" s="1558">
        <v>11</v>
      </c>
    </row>
    <row r="59" spans="1:37" s="2212" customFormat="1" ht="11.5" customHeight="1">
      <c r="A59" s="909"/>
      <c r="B59" s="909"/>
      <c r="C59" s="909"/>
      <c r="D59" s="909"/>
      <c r="E59" s="909"/>
      <c r="F59" s="1553"/>
      <c r="G59" s="1553"/>
      <c r="H59" s="285"/>
      <c r="N59" s="1283"/>
      <c r="P59" s="1283"/>
      <c r="Q59" s="1553"/>
      <c r="R59" s="1553"/>
      <c r="S59" s="1283"/>
      <c r="T59" s="1283"/>
      <c r="U59" s="1283"/>
      <c r="V59" s="1283"/>
      <c r="W59" s="1553"/>
      <c r="X59" s="1283"/>
      <c r="Y59" s="1283"/>
      <c r="Z59" s="478"/>
      <c r="AA59" s="1283"/>
      <c r="AB59" s="1283"/>
      <c r="AC59" s="1283"/>
      <c r="AD59" s="1283"/>
      <c r="AE59" s="1283"/>
      <c r="AF59" s="1549"/>
      <c r="AG59" s="556"/>
      <c r="AH59" s="556"/>
      <c r="AI59" s="556"/>
      <c r="AJ59" s="556"/>
      <c r="AK59" s="1558">
        <v>11</v>
      </c>
    </row>
    <row r="60" spans="1:37" s="2212" customFormat="1" ht="11.5" customHeight="1">
      <c r="A60" s="909"/>
      <c r="B60" s="909"/>
      <c r="C60" s="909"/>
      <c r="D60" s="909"/>
      <c r="E60" s="909"/>
      <c r="F60" s="1553"/>
      <c r="G60" s="1553"/>
      <c r="H60" s="285"/>
      <c r="N60" s="1283"/>
      <c r="P60" s="1283"/>
      <c r="Q60" s="1553"/>
      <c r="R60" s="1553"/>
      <c r="S60" s="1283"/>
      <c r="T60" s="1283"/>
      <c r="U60" s="1283"/>
      <c r="V60" s="1283"/>
      <c r="W60" s="1553"/>
      <c r="X60" s="1283"/>
      <c r="Y60" s="1283"/>
      <c r="Z60" s="478"/>
      <c r="AA60" s="1283"/>
      <c r="AB60" s="1283"/>
      <c r="AC60" s="1283"/>
      <c r="AD60" s="1283"/>
      <c r="AE60" s="1283"/>
      <c r="AF60" s="1549"/>
      <c r="AG60" s="556"/>
      <c r="AH60" s="556"/>
      <c r="AI60" s="556"/>
      <c r="AJ60" s="556"/>
      <c r="AK60" s="1558">
        <v>11</v>
      </c>
    </row>
    <row r="61" spans="1:37" s="2212" customFormat="1" ht="11.5" customHeight="1">
      <c r="A61" s="909"/>
      <c r="B61" s="909"/>
      <c r="C61" s="909"/>
      <c r="D61" s="909"/>
      <c r="E61" s="909"/>
      <c r="F61" s="1553"/>
      <c r="G61" s="1553"/>
      <c r="H61" s="285"/>
      <c r="N61" s="1283"/>
      <c r="P61" s="1283"/>
      <c r="Q61" s="1553"/>
      <c r="R61" s="1553"/>
      <c r="S61" s="1283"/>
      <c r="T61" s="1283"/>
      <c r="U61" s="1283"/>
      <c r="V61" s="1283"/>
      <c r="W61" s="1553"/>
      <c r="X61" s="1283"/>
      <c r="Y61" s="1283"/>
      <c r="Z61" s="478"/>
      <c r="AA61" s="1283"/>
      <c r="AB61" s="1283"/>
      <c r="AC61" s="1283"/>
      <c r="AD61" s="1283"/>
      <c r="AE61" s="1283"/>
      <c r="AF61" s="1549"/>
      <c r="AG61" s="556"/>
      <c r="AH61" s="556"/>
      <c r="AI61" s="556"/>
      <c r="AJ61" s="556"/>
      <c r="AK61" s="1558">
        <v>11</v>
      </c>
    </row>
    <row r="62" spans="1:37" s="2212" customFormat="1" ht="11.5" customHeight="1">
      <c r="A62" s="909"/>
      <c r="B62" s="909"/>
      <c r="C62" s="909"/>
      <c r="D62" s="909"/>
      <c r="E62" s="909"/>
      <c r="F62" s="1553"/>
      <c r="G62" s="1553"/>
      <c r="H62" s="285"/>
      <c r="N62" s="1283"/>
      <c r="P62" s="1283"/>
      <c r="Q62" s="1553"/>
      <c r="R62" s="1553"/>
      <c r="S62" s="1283"/>
      <c r="T62" s="1283"/>
      <c r="U62" s="1283"/>
      <c r="V62" s="1283"/>
      <c r="W62" s="1553"/>
      <c r="X62" s="1283"/>
      <c r="Y62" s="1283"/>
      <c r="Z62" s="478"/>
      <c r="AA62" s="1283"/>
      <c r="AB62" s="1283"/>
      <c r="AC62" s="1283"/>
      <c r="AD62" s="1283"/>
      <c r="AE62" s="1283"/>
      <c r="AF62" s="1549"/>
      <c r="AG62" s="556"/>
      <c r="AH62" s="556"/>
      <c r="AI62" s="556"/>
      <c r="AJ62" s="556"/>
      <c r="AK62" s="1558">
        <v>11</v>
      </c>
    </row>
    <row r="63" spans="1:37" s="2212" customFormat="1" ht="11.5" customHeight="1">
      <c r="A63" s="909"/>
      <c r="B63" s="909"/>
      <c r="C63" s="909"/>
      <c r="D63" s="909"/>
      <c r="E63" s="909"/>
      <c r="F63" s="1553"/>
      <c r="G63" s="1553"/>
      <c r="H63" s="285"/>
      <c r="N63" s="1283"/>
      <c r="P63" s="1283"/>
      <c r="Q63" s="1553"/>
      <c r="R63" s="1553"/>
      <c r="S63" s="1283"/>
      <c r="T63" s="1283"/>
      <c r="U63" s="1283"/>
      <c r="V63" s="1283"/>
      <c r="W63" s="1553"/>
      <c r="X63" s="1283"/>
      <c r="Y63" s="1283"/>
      <c r="Z63" s="478"/>
      <c r="AA63" s="1283"/>
      <c r="AB63" s="1283"/>
      <c r="AC63" s="1283"/>
      <c r="AD63" s="1283"/>
      <c r="AE63" s="1283"/>
      <c r="AF63" s="1549"/>
      <c r="AG63" s="556"/>
      <c r="AH63" s="556"/>
      <c r="AI63" s="556"/>
      <c r="AJ63" s="556"/>
      <c r="AK63" s="1558">
        <v>11</v>
      </c>
    </row>
    <row r="64" spans="1:37" s="2212" customFormat="1" ht="11.5" customHeight="1">
      <c r="A64" s="909"/>
      <c r="B64" s="909"/>
      <c r="C64" s="909"/>
      <c r="D64" s="909"/>
      <c r="E64" s="909"/>
      <c r="F64" s="1553"/>
      <c r="G64" s="1553"/>
      <c r="H64" s="285"/>
      <c r="N64" s="1283"/>
      <c r="P64" s="1283"/>
      <c r="Q64" s="1553"/>
      <c r="R64" s="1553"/>
      <c r="S64" s="1283"/>
      <c r="T64" s="1283"/>
      <c r="U64" s="1283"/>
      <c r="V64" s="1283"/>
      <c r="W64" s="1553"/>
      <c r="X64" s="1283"/>
      <c r="Y64" s="1283"/>
      <c r="Z64" s="478"/>
      <c r="AA64" s="1283"/>
      <c r="AB64" s="1283"/>
      <c r="AC64" s="1283"/>
      <c r="AD64" s="1283"/>
      <c r="AE64" s="1283"/>
      <c r="AF64" s="1549"/>
      <c r="AG64" s="556"/>
      <c r="AH64" s="556"/>
      <c r="AI64" s="556"/>
      <c r="AJ64" s="556"/>
      <c r="AK64" s="1558">
        <v>11</v>
      </c>
    </row>
    <row r="65" spans="1:37" s="2212" customFormat="1" ht="11.5" customHeight="1">
      <c r="A65" s="909"/>
      <c r="B65" s="909"/>
      <c r="C65" s="909"/>
      <c r="D65" s="909"/>
      <c r="E65" s="909"/>
      <c r="F65" s="1553"/>
      <c r="G65" s="1553"/>
      <c r="H65" s="285"/>
      <c r="N65" s="1283"/>
      <c r="P65" s="1283"/>
      <c r="Q65" s="1553"/>
      <c r="R65" s="1553"/>
      <c r="S65" s="1283"/>
      <c r="T65" s="1283"/>
      <c r="U65" s="1283"/>
      <c r="V65" s="1283"/>
      <c r="W65" s="1553"/>
      <c r="X65" s="1283"/>
      <c r="Y65" s="1283"/>
      <c r="Z65" s="478"/>
      <c r="AA65" s="1283"/>
      <c r="AB65" s="1283"/>
      <c r="AC65" s="1283"/>
      <c r="AD65" s="1283"/>
      <c r="AE65" s="1283"/>
      <c r="AF65" s="1549"/>
      <c r="AG65" s="556"/>
      <c r="AH65" s="556"/>
      <c r="AI65" s="556"/>
      <c r="AJ65" s="556"/>
      <c r="AK65" s="1558">
        <v>11</v>
      </c>
    </row>
    <row r="66" spans="1:37" s="2212" customFormat="1" ht="11.5" customHeight="1">
      <c r="A66" s="909"/>
      <c r="B66" s="909"/>
      <c r="C66" s="909"/>
      <c r="D66" s="909"/>
      <c r="E66" s="909"/>
      <c r="F66" s="1553"/>
      <c r="G66" s="1553"/>
      <c r="H66" s="285"/>
      <c r="N66" s="1283"/>
      <c r="P66" s="1283"/>
      <c r="Q66" s="1553"/>
      <c r="R66" s="1553"/>
      <c r="S66" s="1283"/>
      <c r="T66" s="1283"/>
      <c r="U66" s="1283"/>
      <c r="V66" s="1283"/>
      <c r="W66" s="1553"/>
      <c r="X66" s="1283"/>
      <c r="Y66" s="1283"/>
      <c r="Z66" s="478"/>
      <c r="AA66" s="1283"/>
      <c r="AB66" s="1283"/>
      <c r="AC66" s="1283"/>
      <c r="AD66" s="1283"/>
      <c r="AE66" s="1283"/>
      <c r="AF66" s="1549"/>
      <c r="AG66" s="556"/>
      <c r="AH66" s="556"/>
      <c r="AI66" s="556"/>
      <c r="AJ66" s="556"/>
      <c r="AK66" s="1558">
        <v>11</v>
      </c>
    </row>
    <row r="67" spans="1:37" s="2212" customFormat="1" ht="11.5" customHeight="1">
      <c r="A67" s="909"/>
      <c r="B67" s="909"/>
      <c r="C67" s="909"/>
      <c r="D67" s="909"/>
      <c r="E67" s="909"/>
      <c r="F67" s="1553"/>
      <c r="G67" s="1553"/>
      <c r="H67" s="285"/>
      <c r="N67" s="1283"/>
      <c r="P67" s="1283"/>
      <c r="Q67" s="1553"/>
      <c r="R67" s="1553"/>
      <c r="S67" s="1283"/>
      <c r="T67" s="1283"/>
      <c r="U67" s="1283"/>
      <c r="V67" s="1283"/>
      <c r="W67" s="1553"/>
      <c r="X67" s="1283"/>
      <c r="Y67" s="1283"/>
      <c r="Z67" s="478"/>
      <c r="AA67" s="1283"/>
      <c r="AB67" s="1283"/>
      <c r="AC67" s="1283"/>
      <c r="AD67" s="1283"/>
      <c r="AE67" s="1283"/>
      <c r="AF67" s="1549"/>
      <c r="AG67" s="556"/>
      <c r="AH67" s="556"/>
      <c r="AI67" s="556"/>
      <c r="AJ67" s="556"/>
      <c r="AK67" s="1558">
        <v>11</v>
      </c>
    </row>
    <row r="68" spans="1:37" s="2212" customFormat="1" ht="11.5" customHeight="1">
      <c r="A68" s="909"/>
      <c r="B68" s="909"/>
      <c r="C68" s="909"/>
      <c r="D68" s="909"/>
      <c r="E68" s="909"/>
      <c r="F68" s="1553"/>
      <c r="G68" s="1553"/>
      <c r="H68" s="285"/>
      <c r="N68" s="1283"/>
      <c r="P68" s="1283"/>
      <c r="Q68" s="1553"/>
      <c r="R68" s="1553"/>
      <c r="S68" s="1283"/>
      <c r="T68" s="1283"/>
      <c r="U68" s="1283"/>
      <c r="V68" s="1283"/>
      <c r="W68" s="1553"/>
      <c r="X68" s="1283"/>
      <c r="Y68" s="1283"/>
      <c r="Z68" s="478"/>
      <c r="AA68" s="1283"/>
      <c r="AB68" s="1283"/>
      <c r="AC68" s="1283"/>
      <c r="AD68" s="1283"/>
      <c r="AE68" s="1283"/>
      <c r="AF68" s="1549"/>
      <c r="AG68" s="556"/>
      <c r="AH68" s="556"/>
      <c r="AI68" s="556"/>
      <c r="AJ68" s="556"/>
      <c r="AK68" s="1558">
        <v>11</v>
      </c>
    </row>
    <row r="69" spans="1:37" s="2212" customFormat="1" ht="11.5" customHeight="1">
      <c r="A69" s="909"/>
      <c r="B69" s="909"/>
      <c r="C69" s="909"/>
      <c r="D69" s="909"/>
      <c r="E69" s="909"/>
      <c r="F69" s="1553"/>
      <c r="G69" s="1553"/>
      <c r="H69" s="285"/>
      <c r="N69" s="1283"/>
      <c r="P69" s="1283"/>
      <c r="Q69" s="1553"/>
      <c r="R69" s="1553"/>
      <c r="S69" s="1283"/>
      <c r="T69" s="1283"/>
      <c r="U69" s="1283"/>
      <c r="V69" s="1283"/>
      <c r="W69" s="1553"/>
      <c r="X69" s="1283"/>
      <c r="Y69" s="1283"/>
      <c r="Z69" s="478"/>
      <c r="AA69" s="1283"/>
      <c r="AB69" s="1283"/>
      <c r="AC69" s="1283"/>
      <c r="AD69" s="1283"/>
      <c r="AE69" s="1283"/>
      <c r="AF69" s="1549"/>
      <c r="AG69" s="556"/>
      <c r="AH69" s="556"/>
      <c r="AI69" s="556"/>
      <c r="AJ69" s="556"/>
      <c r="AK69" s="1558">
        <v>11</v>
      </c>
    </row>
    <row r="70" spans="1:37" s="2212" customFormat="1" ht="11.5" customHeight="1">
      <c r="A70" s="909"/>
      <c r="B70" s="909"/>
      <c r="C70" s="909"/>
      <c r="D70" s="909"/>
      <c r="E70" s="909"/>
      <c r="F70" s="1553"/>
      <c r="G70" s="1553"/>
      <c r="H70" s="285"/>
      <c r="N70" s="1283"/>
      <c r="P70" s="1283"/>
      <c r="Q70" s="1553"/>
      <c r="R70" s="1553"/>
      <c r="S70" s="1283"/>
      <c r="T70" s="1283"/>
      <c r="U70" s="1283"/>
      <c r="V70" s="1283"/>
      <c r="W70" s="1553"/>
      <c r="X70" s="1283"/>
      <c r="Y70" s="1283"/>
      <c r="Z70" s="478"/>
      <c r="AA70" s="1283"/>
      <c r="AB70" s="1283"/>
      <c r="AC70" s="1283"/>
      <c r="AD70" s="1283"/>
      <c r="AE70" s="1283"/>
      <c r="AF70" s="1549"/>
      <c r="AG70" s="556"/>
      <c r="AH70" s="556"/>
      <c r="AI70" s="556"/>
      <c r="AJ70" s="556"/>
      <c r="AK70" s="1558">
        <v>11</v>
      </c>
    </row>
    <row r="71" spans="1:37" s="2212" customFormat="1" ht="11.5" customHeight="1">
      <c r="A71" s="909"/>
      <c r="B71" s="909"/>
      <c r="C71" s="909"/>
      <c r="D71" s="909"/>
      <c r="E71" s="909"/>
      <c r="F71" s="1553"/>
      <c r="G71" s="1553"/>
      <c r="H71" s="285"/>
      <c r="N71" s="1283"/>
      <c r="P71" s="1283"/>
      <c r="Q71" s="1553"/>
      <c r="R71" s="1553"/>
      <c r="S71" s="1283"/>
      <c r="T71" s="1283"/>
      <c r="U71" s="1283"/>
      <c r="V71" s="1283"/>
      <c r="W71" s="1553"/>
      <c r="X71" s="1283"/>
      <c r="Y71" s="1283"/>
      <c r="Z71" s="478"/>
      <c r="AA71" s="1283"/>
      <c r="AB71" s="1283"/>
      <c r="AC71" s="1283"/>
      <c r="AD71" s="1283"/>
      <c r="AE71" s="1283"/>
      <c r="AF71" s="1549"/>
      <c r="AG71" s="556"/>
      <c r="AH71" s="556"/>
      <c r="AI71" s="556"/>
      <c r="AJ71" s="556"/>
      <c r="AK71" s="1558">
        <v>11</v>
      </c>
    </row>
    <row r="72" spans="1:37" s="2212" customFormat="1" ht="11.5" customHeight="1">
      <c r="A72" s="909"/>
      <c r="B72" s="909"/>
      <c r="C72" s="909"/>
      <c r="D72" s="909"/>
      <c r="E72" s="909"/>
      <c r="F72" s="1553"/>
      <c r="G72" s="1553"/>
      <c r="H72" s="285"/>
      <c r="N72" s="1283"/>
      <c r="P72" s="1283"/>
      <c r="Q72" s="1553"/>
      <c r="R72" s="1553"/>
      <c r="S72" s="1283"/>
      <c r="T72" s="1283"/>
      <c r="U72" s="1283"/>
      <c r="V72" s="1283"/>
      <c r="W72" s="1553"/>
      <c r="X72" s="1283"/>
      <c r="Y72" s="1283"/>
      <c r="Z72" s="478"/>
      <c r="AA72" s="1283"/>
      <c r="AB72" s="1283"/>
      <c r="AC72" s="1283"/>
      <c r="AD72" s="1283"/>
      <c r="AE72" s="1283"/>
      <c r="AF72" s="1549"/>
      <c r="AG72" s="556"/>
      <c r="AH72" s="556"/>
      <c r="AI72" s="556"/>
      <c r="AJ72" s="556"/>
      <c r="AK72" s="1558">
        <v>11</v>
      </c>
    </row>
    <row r="73" spans="1:37" s="2212" customFormat="1" ht="11.5" customHeight="1">
      <c r="A73" s="909"/>
      <c r="B73" s="909"/>
      <c r="C73" s="909"/>
      <c r="D73" s="909"/>
      <c r="E73" s="909"/>
      <c r="F73" s="1553"/>
      <c r="G73" s="1553"/>
      <c r="H73" s="285"/>
      <c r="N73" s="1283"/>
      <c r="P73" s="1283"/>
      <c r="Q73" s="1553"/>
      <c r="R73" s="1553"/>
      <c r="S73" s="1283"/>
      <c r="T73" s="1283"/>
      <c r="U73" s="1283"/>
      <c r="V73" s="1283"/>
      <c r="W73" s="1553"/>
      <c r="X73" s="1283"/>
      <c r="Y73" s="1283"/>
      <c r="Z73" s="478"/>
      <c r="AA73" s="1283"/>
      <c r="AB73" s="1283"/>
      <c r="AC73" s="1283"/>
      <c r="AD73" s="1283"/>
      <c r="AE73" s="1283"/>
      <c r="AF73" s="1549"/>
      <c r="AG73" s="556"/>
      <c r="AH73" s="556"/>
      <c r="AI73" s="556"/>
      <c r="AJ73" s="556"/>
      <c r="AK73" s="1558">
        <v>11</v>
      </c>
    </row>
    <row r="74" spans="1:37" s="2212" customFormat="1" ht="11.5" customHeight="1">
      <c r="A74" s="909"/>
      <c r="B74" s="909"/>
      <c r="C74" s="909"/>
      <c r="D74" s="909"/>
      <c r="E74" s="909"/>
      <c r="F74" s="1553"/>
      <c r="G74" s="1553"/>
      <c r="H74" s="285"/>
      <c r="N74" s="1283"/>
      <c r="P74" s="1283"/>
      <c r="Q74" s="1553"/>
      <c r="R74" s="1553"/>
      <c r="S74" s="1283"/>
      <c r="T74" s="1283"/>
      <c r="U74" s="1283"/>
      <c r="V74" s="1283"/>
      <c r="W74" s="1553"/>
      <c r="X74" s="1283"/>
      <c r="Y74" s="1283"/>
      <c r="Z74" s="478"/>
      <c r="AA74" s="1283"/>
      <c r="AB74" s="1283"/>
      <c r="AC74" s="1283"/>
      <c r="AD74" s="1283"/>
      <c r="AE74" s="1283"/>
      <c r="AF74" s="1549"/>
      <c r="AG74" s="556"/>
      <c r="AH74" s="556"/>
      <c r="AI74" s="556"/>
      <c r="AJ74" s="556"/>
      <c r="AK74" s="1558">
        <v>11</v>
      </c>
    </row>
    <row r="75" spans="1:37" s="2212" customFormat="1" ht="11.5" customHeight="1">
      <c r="A75" s="909"/>
      <c r="B75" s="909"/>
      <c r="C75" s="909"/>
      <c r="D75" s="909"/>
      <c r="E75" s="909"/>
      <c r="F75" s="1553"/>
      <c r="G75" s="1553"/>
      <c r="H75" s="285"/>
      <c r="N75" s="1283"/>
      <c r="P75" s="1283"/>
      <c r="Q75" s="1553"/>
      <c r="R75" s="1553"/>
      <c r="S75" s="1283"/>
      <c r="T75" s="1283"/>
      <c r="U75" s="1283"/>
      <c r="V75" s="1283"/>
      <c r="W75" s="1553"/>
      <c r="X75" s="1283"/>
      <c r="Y75" s="1283"/>
      <c r="Z75" s="478"/>
      <c r="AA75" s="1283"/>
      <c r="AB75" s="1283"/>
      <c r="AC75" s="1283"/>
      <c r="AD75" s="1283"/>
      <c r="AE75" s="1283"/>
      <c r="AF75" s="1549"/>
      <c r="AG75" s="556"/>
      <c r="AH75" s="556"/>
      <c r="AI75" s="556"/>
      <c r="AJ75" s="556"/>
      <c r="AK75" s="1558">
        <v>11</v>
      </c>
    </row>
    <row r="76" spans="1:37" s="2212" customFormat="1" ht="11.5" customHeight="1">
      <c r="A76" s="909"/>
      <c r="B76" s="909"/>
      <c r="C76" s="909"/>
      <c r="D76" s="909"/>
      <c r="E76" s="909"/>
      <c r="F76" s="1553"/>
      <c r="G76" s="1553"/>
      <c r="H76" s="285"/>
      <c r="N76" s="1283"/>
      <c r="P76" s="1283"/>
      <c r="Q76" s="1553"/>
      <c r="R76" s="1553"/>
      <c r="S76" s="1283"/>
      <c r="T76" s="1283"/>
      <c r="U76" s="1283"/>
      <c r="V76" s="1283"/>
      <c r="W76" s="1553"/>
      <c r="X76" s="1283"/>
      <c r="Y76" s="1283"/>
      <c r="Z76" s="478"/>
      <c r="AA76" s="1283"/>
      <c r="AB76" s="1283"/>
      <c r="AC76" s="1283"/>
      <c r="AD76" s="1283"/>
      <c r="AE76" s="1283"/>
      <c r="AF76" s="1549"/>
      <c r="AG76" s="556"/>
      <c r="AH76" s="556"/>
      <c r="AI76" s="556"/>
      <c r="AJ76" s="556"/>
      <c r="AK76" s="1558">
        <v>11</v>
      </c>
    </row>
    <row r="77" spans="1:37" s="2212" customFormat="1" ht="11.5" customHeight="1">
      <c r="A77" s="909"/>
      <c r="B77" s="909"/>
      <c r="C77" s="909"/>
      <c r="D77" s="909"/>
      <c r="E77" s="909"/>
      <c r="F77" s="1553"/>
      <c r="G77" s="1553"/>
      <c r="H77" s="285"/>
      <c r="N77" s="1283"/>
      <c r="P77" s="1283"/>
      <c r="Q77" s="1553"/>
      <c r="R77" s="1553"/>
      <c r="S77" s="1283"/>
      <c r="T77" s="1283"/>
      <c r="U77" s="1283"/>
      <c r="V77" s="1283"/>
      <c r="W77" s="1553"/>
      <c r="X77" s="1283"/>
      <c r="Y77" s="1283"/>
      <c r="Z77" s="478"/>
      <c r="AA77" s="1283"/>
      <c r="AB77" s="1283"/>
      <c r="AC77" s="1283"/>
      <c r="AD77" s="1283"/>
      <c r="AE77" s="1283"/>
      <c r="AF77" s="1549"/>
      <c r="AG77" s="556"/>
      <c r="AH77" s="556"/>
      <c r="AI77" s="556"/>
      <c r="AJ77" s="556"/>
      <c r="AK77" s="1558">
        <v>11</v>
      </c>
    </row>
    <row r="78" spans="1:37" s="2212" customFormat="1" ht="11.5" customHeight="1">
      <c r="A78" s="909"/>
      <c r="B78" s="909"/>
      <c r="C78" s="909"/>
      <c r="D78" s="909"/>
      <c r="E78" s="909"/>
      <c r="F78" s="1553"/>
      <c r="G78" s="1553"/>
      <c r="H78" s="285"/>
      <c r="N78" s="1283"/>
      <c r="P78" s="1283"/>
      <c r="Q78" s="1553"/>
      <c r="R78" s="1553"/>
      <c r="S78" s="1283"/>
      <c r="T78" s="1283"/>
      <c r="U78" s="1283"/>
      <c r="V78" s="1283"/>
      <c r="W78" s="1553"/>
      <c r="X78" s="1283"/>
      <c r="Y78" s="1283"/>
      <c r="Z78" s="478"/>
      <c r="AA78" s="1283"/>
      <c r="AB78" s="1283"/>
      <c r="AC78" s="1283"/>
      <c r="AD78" s="1283"/>
      <c r="AE78" s="1283"/>
      <c r="AF78" s="1549"/>
      <c r="AG78" s="556"/>
      <c r="AH78" s="556"/>
      <c r="AI78" s="556"/>
      <c r="AJ78" s="556"/>
      <c r="AK78" s="1558">
        <v>11</v>
      </c>
    </row>
    <row r="79" spans="1:37" s="2212" customFormat="1" ht="11.5" customHeight="1">
      <c r="A79" s="909"/>
      <c r="B79" s="909"/>
      <c r="C79" s="909"/>
      <c r="D79" s="909"/>
      <c r="E79" s="909"/>
      <c r="F79" s="1553"/>
      <c r="G79" s="1553"/>
      <c r="H79" s="285"/>
      <c r="N79" s="1283"/>
      <c r="P79" s="1283"/>
      <c r="Q79" s="1553"/>
      <c r="R79" s="1553"/>
      <c r="S79" s="1283"/>
      <c r="T79" s="1283"/>
      <c r="U79" s="1283"/>
      <c r="V79" s="1283"/>
      <c r="W79" s="1553"/>
      <c r="X79" s="1283"/>
      <c r="Y79" s="1283"/>
      <c r="Z79" s="478"/>
      <c r="AA79" s="1283"/>
      <c r="AB79" s="1283"/>
      <c r="AC79" s="1283"/>
      <c r="AD79" s="1283"/>
      <c r="AE79" s="1283"/>
      <c r="AF79" s="1549"/>
      <c r="AG79" s="556"/>
      <c r="AH79" s="556"/>
      <c r="AI79" s="556"/>
      <c r="AJ79" s="556"/>
      <c r="AK79" s="1558">
        <v>11</v>
      </c>
    </row>
    <row r="80" spans="1:37" s="2212" customFormat="1" ht="11.5" customHeight="1">
      <c r="A80" s="909"/>
      <c r="B80" s="909"/>
      <c r="C80" s="909"/>
      <c r="D80" s="909"/>
      <c r="E80" s="909"/>
      <c r="F80" s="1553"/>
      <c r="G80" s="1553"/>
      <c r="H80" s="285"/>
      <c r="N80" s="1283"/>
      <c r="P80" s="1283"/>
      <c r="Q80" s="1553"/>
      <c r="R80" s="1553"/>
      <c r="S80" s="1283"/>
      <c r="T80" s="1283"/>
      <c r="U80" s="1283"/>
      <c r="V80" s="1283"/>
      <c r="W80" s="1553"/>
      <c r="X80" s="1283"/>
      <c r="Y80" s="1283"/>
      <c r="Z80" s="478"/>
      <c r="AA80" s="1283"/>
      <c r="AB80" s="1283"/>
      <c r="AC80" s="1283"/>
      <c r="AD80" s="1283"/>
      <c r="AE80" s="1283"/>
      <c r="AF80" s="1549"/>
      <c r="AG80" s="556"/>
      <c r="AH80" s="556"/>
      <c r="AI80" s="556"/>
      <c r="AJ80" s="556"/>
      <c r="AK80" s="1558">
        <v>11</v>
      </c>
    </row>
    <row r="81" spans="1:37" s="2212" customFormat="1" ht="11.5" customHeight="1">
      <c r="A81" s="909"/>
      <c r="B81" s="909"/>
      <c r="C81" s="909"/>
      <c r="D81" s="909"/>
      <c r="E81" s="909"/>
      <c r="F81" s="1553"/>
      <c r="G81" s="1553"/>
      <c r="H81" s="285"/>
      <c r="N81" s="1283"/>
      <c r="P81" s="1283"/>
      <c r="Q81" s="1553"/>
      <c r="R81" s="1553"/>
      <c r="S81" s="1283"/>
      <c r="T81" s="1283"/>
      <c r="U81" s="1283"/>
      <c r="V81" s="1283"/>
      <c r="W81" s="1553"/>
      <c r="X81" s="1283"/>
      <c r="Y81" s="1283"/>
      <c r="Z81" s="478"/>
      <c r="AA81" s="1283"/>
      <c r="AB81" s="1283"/>
      <c r="AC81" s="1283"/>
      <c r="AD81" s="1283"/>
      <c r="AE81" s="1283"/>
      <c r="AF81" s="1549"/>
      <c r="AG81" s="556"/>
      <c r="AH81" s="556"/>
      <c r="AI81" s="556"/>
      <c r="AJ81" s="556"/>
      <c r="AK81" s="1558">
        <v>11</v>
      </c>
    </row>
    <row r="82" spans="1:37" s="2212" customFormat="1" ht="11.5" customHeight="1">
      <c r="A82" s="909"/>
      <c r="B82" s="909"/>
      <c r="C82" s="909"/>
      <c r="D82" s="909"/>
      <c r="E82" s="909"/>
      <c r="F82" s="1553"/>
      <c r="G82" s="1553"/>
      <c r="H82" s="285"/>
      <c r="N82" s="1283"/>
      <c r="P82" s="1283"/>
      <c r="Q82" s="1553"/>
      <c r="R82" s="1553"/>
      <c r="S82" s="1283"/>
      <c r="T82" s="1283"/>
      <c r="U82" s="1283"/>
      <c r="V82" s="1283"/>
      <c r="W82" s="1553"/>
      <c r="X82" s="1283"/>
      <c r="Y82" s="1283"/>
      <c r="Z82" s="478"/>
      <c r="AA82" s="1283"/>
      <c r="AB82" s="1283"/>
      <c r="AC82" s="1283"/>
      <c r="AD82" s="1283"/>
      <c r="AE82" s="1283"/>
      <c r="AF82" s="1549"/>
      <c r="AG82" s="556"/>
      <c r="AH82" s="556"/>
      <c r="AI82" s="556"/>
      <c r="AJ82" s="556"/>
      <c r="AK82" s="1558">
        <v>11</v>
      </c>
    </row>
    <row r="83" spans="1:37" s="2212" customFormat="1" ht="11.5" customHeight="1">
      <c r="A83" s="909"/>
      <c r="B83" s="909"/>
      <c r="C83" s="909"/>
      <c r="D83" s="909"/>
      <c r="E83" s="909"/>
      <c r="F83" s="1553"/>
      <c r="G83" s="1553"/>
      <c r="H83" s="285"/>
      <c r="N83" s="1283"/>
      <c r="P83" s="1283"/>
      <c r="Q83" s="1553"/>
      <c r="R83" s="1553"/>
      <c r="S83" s="1283"/>
      <c r="T83" s="1283"/>
      <c r="U83" s="1283"/>
      <c r="V83" s="1283"/>
      <c r="W83" s="1553"/>
      <c r="X83" s="1283"/>
      <c r="Y83" s="1283"/>
      <c r="Z83" s="478"/>
      <c r="AA83" s="1283"/>
      <c r="AB83" s="1283"/>
      <c r="AC83" s="1283"/>
      <c r="AD83" s="1283"/>
      <c r="AE83" s="1283"/>
      <c r="AF83" s="1549"/>
      <c r="AG83" s="556"/>
      <c r="AH83" s="556"/>
      <c r="AI83" s="556"/>
      <c r="AJ83" s="556"/>
      <c r="AK83" s="1558">
        <v>11</v>
      </c>
    </row>
    <row r="84" spans="1:37" s="2212" customFormat="1" ht="11.5" customHeight="1">
      <c r="A84" s="909"/>
      <c r="B84" s="909"/>
      <c r="C84" s="909"/>
      <c r="D84" s="909"/>
      <c r="E84" s="909"/>
      <c r="F84" s="1553"/>
      <c r="G84" s="1553"/>
      <c r="H84" s="285"/>
      <c r="N84" s="1283"/>
      <c r="P84" s="1283"/>
      <c r="Q84" s="1553"/>
      <c r="R84" s="1553"/>
      <c r="S84" s="1283"/>
      <c r="T84" s="1283"/>
      <c r="U84" s="1283"/>
      <c r="V84" s="1283"/>
      <c r="W84" s="1553"/>
      <c r="X84" s="1283"/>
      <c r="Y84" s="1283"/>
      <c r="Z84" s="478"/>
      <c r="AA84" s="1283"/>
      <c r="AB84" s="1283"/>
      <c r="AC84" s="1283"/>
      <c r="AD84" s="1283"/>
      <c r="AE84" s="1283"/>
      <c r="AF84" s="1549"/>
      <c r="AG84" s="556"/>
      <c r="AH84" s="556"/>
      <c r="AI84" s="556"/>
      <c r="AJ84" s="556"/>
      <c r="AK84" s="1558">
        <v>11</v>
      </c>
    </row>
    <row r="85" spans="1:37" s="2212" customFormat="1" ht="11.5" customHeight="1">
      <c r="A85" s="909"/>
      <c r="B85" s="909"/>
      <c r="C85" s="909"/>
      <c r="D85" s="909"/>
      <c r="E85" s="909"/>
      <c r="F85" s="1553"/>
      <c r="G85" s="1553"/>
      <c r="H85" s="285"/>
      <c r="N85" s="1283"/>
      <c r="P85" s="1283"/>
      <c r="Q85" s="1553"/>
      <c r="R85" s="1553"/>
      <c r="S85" s="1283"/>
      <c r="T85" s="1283"/>
      <c r="U85" s="1283"/>
      <c r="V85" s="1283"/>
      <c r="W85" s="1553"/>
      <c r="X85" s="1283"/>
      <c r="Y85" s="1283"/>
      <c r="Z85" s="478"/>
      <c r="AA85" s="1283"/>
      <c r="AB85" s="1283"/>
      <c r="AC85" s="1283"/>
      <c r="AD85" s="1283"/>
      <c r="AE85" s="1283"/>
      <c r="AF85" s="1549"/>
      <c r="AG85" s="556"/>
      <c r="AH85" s="556"/>
      <c r="AI85" s="556"/>
      <c r="AJ85" s="556"/>
      <c r="AK85" s="1558">
        <v>11</v>
      </c>
    </row>
    <row r="86" spans="1:37" s="2212" customFormat="1" ht="11.5" customHeight="1">
      <c r="A86" s="909"/>
      <c r="B86" s="909"/>
      <c r="C86" s="909"/>
      <c r="D86" s="909"/>
      <c r="E86" s="909"/>
      <c r="F86" s="1553"/>
      <c r="G86" s="1553"/>
      <c r="H86" s="285"/>
      <c r="N86" s="1283"/>
      <c r="P86" s="1283"/>
      <c r="Q86" s="1553"/>
      <c r="R86" s="1553"/>
      <c r="S86" s="1283"/>
      <c r="T86" s="1283"/>
      <c r="U86" s="1283"/>
      <c r="V86" s="1283"/>
      <c r="W86" s="1553"/>
      <c r="X86" s="1283"/>
      <c r="Y86" s="1283"/>
      <c r="Z86" s="478"/>
      <c r="AA86" s="1283"/>
      <c r="AB86" s="1283"/>
      <c r="AC86" s="1283"/>
      <c r="AD86" s="1283"/>
      <c r="AE86" s="1283"/>
      <c r="AF86" s="1549"/>
      <c r="AG86" s="556"/>
      <c r="AH86" s="556"/>
      <c r="AI86" s="556"/>
      <c r="AJ86" s="556"/>
      <c r="AK86" s="1558">
        <v>11</v>
      </c>
    </row>
    <row r="87" spans="1:37" s="2212" customFormat="1" ht="11.5" customHeight="1">
      <c r="A87" s="909"/>
      <c r="B87" s="909"/>
      <c r="C87" s="909"/>
      <c r="D87" s="909"/>
      <c r="E87" s="909"/>
      <c r="F87" s="1553"/>
      <c r="G87" s="1553"/>
      <c r="H87" s="285"/>
      <c r="N87" s="1283"/>
      <c r="P87" s="1283"/>
      <c r="Q87" s="1553"/>
      <c r="R87" s="1553"/>
      <c r="S87" s="1283"/>
      <c r="T87" s="1283"/>
      <c r="U87" s="1283"/>
      <c r="V87" s="1283"/>
      <c r="W87" s="1553"/>
      <c r="X87" s="1283"/>
      <c r="Y87" s="1283"/>
      <c r="Z87" s="478"/>
      <c r="AA87" s="1283"/>
      <c r="AB87" s="1283"/>
      <c r="AC87" s="1283"/>
      <c r="AD87" s="1283"/>
      <c r="AE87" s="1283"/>
      <c r="AF87" s="1549"/>
      <c r="AG87" s="556"/>
      <c r="AH87" s="556"/>
      <c r="AI87" s="556"/>
      <c r="AJ87" s="556"/>
      <c r="AK87" s="1558">
        <v>11</v>
      </c>
    </row>
    <row r="88" spans="1:37" s="2212" customFormat="1" ht="11.5" customHeight="1">
      <c r="A88" s="909"/>
      <c r="B88" s="909"/>
      <c r="C88" s="909"/>
      <c r="D88" s="909"/>
      <c r="E88" s="909"/>
      <c r="F88" s="1553"/>
      <c r="G88" s="1553"/>
      <c r="H88" s="285"/>
      <c r="N88" s="1283"/>
      <c r="P88" s="1283"/>
      <c r="Q88" s="1553"/>
      <c r="R88" s="1553"/>
      <c r="S88" s="1283"/>
      <c r="T88" s="1283"/>
      <c r="U88" s="1283"/>
      <c r="V88" s="1283"/>
      <c r="W88" s="1553"/>
      <c r="X88" s="1283"/>
      <c r="Y88" s="1283"/>
      <c r="Z88" s="478"/>
      <c r="AA88" s="1283"/>
      <c r="AB88" s="1283"/>
      <c r="AC88" s="1283"/>
      <c r="AD88" s="1283"/>
      <c r="AE88" s="1283"/>
      <c r="AF88" s="1549"/>
      <c r="AG88" s="556"/>
      <c r="AH88" s="556"/>
      <c r="AI88" s="556"/>
      <c r="AJ88" s="556"/>
      <c r="AK88" s="1558">
        <v>11</v>
      </c>
    </row>
    <row r="89" spans="1:37" s="2212" customFormat="1" ht="11.5" customHeight="1">
      <c r="A89" s="909"/>
      <c r="B89" s="909"/>
      <c r="C89" s="909"/>
      <c r="D89" s="909"/>
      <c r="E89" s="909"/>
      <c r="F89" s="1553"/>
      <c r="G89" s="1553"/>
      <c r="H89" s="285"/>
      <c r="N89" s="1283"/>
      <c r="P89" s="1283"/>
      <c r="Q89" s="1553"/>
      <c r="R89" s="1553"/>
      <c r="S89" s="1283"/>
      <c r="T89" s="1283"/>
      <c r="U89" s="1283"/>
      <c r="V89" s="1283"/>
      <c r="W89" s="1553"/>
      <c r="X89" s="1283"/>
      <c r="Y89" s="1283"/>
      <c r="Z89" s="478"/>
      <c r="AA89" s="1283"/>
      <c r="AB89" s="1283"/>
      <c r="AC89" s="1283"/>
      <c r="AD89" s="1283"/>
      <c r="AE89" s="1283"/>
      <c r="AF89" s="1549"/>
      <c r="AG89" s="556"/>
      <c r="AH89" s="556"/>
      <c r="AI89" s="556"/>
      <c r="AJ89" s="556"/>
      <c r="AK89" s="1558">
        <v>11</v>
      </c>
    </row>
    <row r="90" spans="1:37" s="2212" customFormat="1" ht="11.5" customHeight="1">
      <c r="A90" s="909"/>
      <c r="B90" s="909"/>
      <c r="C90" s="909"/>
      <c r="D90" s="909"/>
      <c r="E90" s="909"/>
      <c r="F90" s="1553"/>
      <c r="G90" s="1553"/>
      <c r="H90" s="285"/>
      <c r="N90" s="1283"/>
      <c r="P90" s="1283"/>
      <c r="Q90" s="1553"/>
      <c r="R90" s="1553"/>
      <c r="S90" s="1283"/>
      <c r="T90" s="1283"/>
      <c r="U90" s="1283"/>
      <c r="V90" s="1283"/>
      <c r="W90" s="1553"/>
      <c r="X90" s="1283"/>
      <c r="Y90" s="1283"/>
      <c r="Z90" s="478"/>
      <c r="AA90" s="1283"/>
      <c r="AB90" s="1283"/>
      <c r="AC90" s="1283"/>
      <c r="AD90" s="1283"/>
      <c r="AE90" s="1283"/>
      <c r="AF90" s="1549"/>
      <c r="AG90" s="556"/>
      <c r="AH90" s="556"/>
      <c r="AI90" s="556"/>
      <c r="AJ90" s="556"/>
      <c r="AK90" s="1558">
        <v>11</v>
      </c>
    </row>
    <row r="91" spans="1:37" s="2212" customFormat="1" ht="11.5" customHeight="1">
      <c r="A91" s="909"/>
      <c r="B91" s="909"/>
      <c r="C91" s="909"/>
      <c r="D91" s="909"/>
      <c r="E91" s="909"/>
      <c r="F91" s="1553"/>
      <c r="G91" s="1553"/>
      <c r="H91" s="285"/>
      <c r="N91" s="1283"/>
      <c r="P91" s="1283"/>
      <c r="Q91" s="1553"/>
      <c r="R91" s="1553"/>
      <c r="S91" s="1283"/>
      <c r="T91" s="1283"/>
      <c r="U91" s="1283"/>
      <c r="V91" s="1283"/>
      <c r="W91" s="1553"/>
      <c r="X91" s="1283"/>
      <c r="Y91" s="1283"/>
      <c r="Z91" s="478"/>
      <c r="AA91" s="1283"/>
      <c r="AB91" s="1283"/>
      <c r="AC91" s="1283"/>
      <c r="AD91" s="1283"/>
      <c r="AE91" s="1283"/>
      <c r="AF91" s="1549"/>
      <c r="AG91" s="556"/>
      <c r="AH91" s="556"/>
      <c r="AI91" s="556"/>
      <c r="AJ91" s="556"/>
      <c r="AK91" s="1558">
        <v>11</v>
      </c>
    </row>
    <row r="92" spans="1:37" s="2212" customFormat="1" ht="11.5" customHeight="1">
      <c r="A92" s="909"/>
      <c r="B92" s="909"/>
      <c r="C92" s="909"/>
      <c r="D92" s="909"/>
      <c r="E92" s="909"/>
      <c r="F92" s="1553"/>
      <c r="G92" s="1553"/>
      <c r="H92" s="285"/>
      <c r="N92" s="1283"/>
      <c r="P92" s="1283"/>
      <c r="Q92" s="1553"/>
      <c r="R92" s="1553"/>
      <c r="S92" s="1283"/>
      <c r="T92" s="1283"/>
      <c r="U92" s="1283"/>
      <c r="V92" s="1283"/>
      <c r="W92" s="1553"/>
      <c r="X92" s="1283"/>
      <c r="Y92" s="1283"/>
      <c r="Z92" s="478"/>
      <c r="AA92" s="1283"/>
      <c r="AB92" s="1283"/>
      <c r="AC92" s="1283"/>
      <c r="AD92" s="1283"/>
      <c r="AE92" s="1283"/>
      <c r="AF92" s="1549"/>
      <c r="AG92" s="556"/>
      <c r="AH92" s="556"/>
      <c r="AI92" s="556"/>
      <c r="AJ92" s="556"/>
      <c r="AK92" s="1558">
        <v>11</v>
      </c>
    </row>
    <row r="93" spans="1:37" s="2212" customFormat="1" ht="11.5" customHeight="1">
      <c r="A93" s="909"/>
      <c r="B93" s="909"/>
      <c r="C93" s="909"/>
      <c r="D93" s="909"/>
      <c r="E93" s="909"/>
      <c r="F93" s="1553"/>
      <c r="G93" s="1553"/>
      <c r="H93" s="285"/>
      <c r="N93" s="1283"/>
      <c r="P93" s="1283"/>
      <c r="Q93" s="1553"/>
      <c r="R93" s="1553"/>
      <c r="S93" s="1283"/>
      <c r="T93" s="1283"/>
      <c r="U93" s="1283"/>
      <c r="V93" s="1283"/>
      <c r="W93" s="1553"/>
      <c r="X93" s="1283"/>
      <c r="Y93" s="1283"/>
      <c r="Z93" s="478"/>
      <c r="AA93" s="1283"/>
      <c r="AB93" s="1283"/>
      <c r="AC93" s="1283"/>
      <c r="AD93" s="1283"/>
      <c r="AE93" s="1283"/>
      <c r="AF93" s="1549"/>
      <c r="AG93" s="556"/>
      <c r="AH93" s="556"/>
      <c r="AI93" s="556"/>
      <c r="AJ93" s="556"/>
      <c r="AK93" s="1558">
        <v>11</v>
      </c>
    </row>
    <row r="94" spans="1:37" s="2212" customFormat="1" ht="11.5" customHeight="1">
      <c r="A94" s="909"/>
      <c r="B94" s="909"/>
      <c r="C94" s="909"/>
      <c r="D94" s="909"/>
      <c r="E94" s="909"/>
      <c r="F94" s="1553"/>
      <c r="G94" s="1553"/>
      <c r="H94" s="285"/>
      <c r="N94" s="1283"/>
      <c r="P94" s="1283"/>
      <c r="Q94" s="1553"/>
      <c r="R94" s="1553"/>
      <c r="S94" s="1283"/>
      <c r="T94" s="1283"/>
      <c r="U94" s="1283"/>
      <c r="V94" s="1283"/>
      <c r="W94" s="1553"/>
      <c r="X94" s="1283"/>
      <c r="Y94" s="1283"/>
      <c r="Z94" s="478"/>
      <c r="AA94" s="1283"/>
      <c r="AB94" s="1283"/>
      <c r="AC94" s="1283"/>
      <c r="AD94" s="1283"/>
      <c r="AE94" s="1283"/>
      <c r="AF94" s="1549"/>
      <c r="AG94" s="556"/>
      <c r="AH94" s="556"/>
      <c r="AI94" s="556"/>
      <c r="AJ94" s="556"/>
      <c r="AK94" s="1558">
        <v>11</v>
      </c>
    </row>
    <row r="95" spans="1:37" s="2212" customFormat="1" ht="11.5" customHeight="1">
      <c r="A95" s="909"/>
      <c r="B95" s="909"/>
      <c r="C95" s="909"/>
      <c r="D95" s="909"/>
      <c r="E95" s="909"/>
      <c r="F95" s="1553"/>
      <c r="G95" s="1553"/>
      <c r="H95" s="285"/>
      <c r="N95" s="1283"/>
      <c r="P95" s="1283"/>
      <c r="Q95" s="1553"/>
      <c r="R95" s="1553"/>
      <c r="S95" s="1283"/>
      <c r="T95" s="1283"/>
      <c r="U95" s="1283"/>
      <c r="V95" s="1283"/>
      <c r="W95" s="1553"/>
      <c r="X95" s="1283"/>
      <c r="Y95" s="1283"/>
      <c r="Z95" s="478"/>
      <c r="AA95" s="1283"/>
      <c r="AB95" s="1283"/>
      <c r="AC95" s="1283"/>
      <c r="AD95" s="1283"/>
      <c r="AE95" s="1283"/>
      <c r="AF95" s="1549"/>
      <c r="AG95" s="556"/>
      <c r="AH95" s="556"/>
      <c r="AI95" s="556"/>
      <c r="AJ95" s="556"/>
      <c r="AK95" s="1558">
        <v>11</v>
      </c>
    </row>
    <row r="96" spans="1:37" s="2212" customFormat="1" ht="11.5" customHeight="1">
      <c r="A96" s="909"/>
      <c r="B96" s="909"/>
      <c r="C96" s="909"/>
      <c r="D96" s="909"/>
      <c r="E96" s="909"/>
      <c r="F96" s="1553"/>
      <c r="G96" s="1553"/>
      <c r="H96" s="285"/>
      <c r="N96" s="1283"/>
      <c r="P96" s="1283"/>
      <c r="Q96" s="1553"/>
      <c r="R96" s="1553"/>
      <c r="S96" s="1283"/>
      <c r="T96" s="1283"/>
      <c r="U96" s="1283"/>
      <c r="V96" s="1283"/>
      <c r="W96" s="1553"/>
      <c r="X96" s="1283"/>
      <c r="Y96" s="1283"/>
      <c r="Z96" s="478"/>
      <c r="AA96" s="1283"/>
      <c r="AB96" s="1283"/>
      <c r="AC96" s="1283"/>
      <c r="AD96" s="1283"/>
      <c r="AE96" s="1283"/>
      <c r="AF96" s="1549"/>
      <c r="AG96" s="556"/>
      <c r="AH96" s="556"/>
      <c r="AI96" s="556"/>
      <c r="AJ96" s="556"/>
      <c r="AK96" s="1558">
        <v>11</v>
      </c>
    </row>
    <row r="97" spans="1:37" s="2212" customFormat="1" ht="11.5" customHeight="1">
      <c r="A97" s="909"/>
      <c r="B97" s="909"/>
      <c r="C97" s="909"/>
      <c r="D97" s="909"/>
      <c r="E97" s="909"/>
      <c r="F97" s="1553"/>
      <c r="G97" s="1553"/>
      <c r="H97" s="285"/>
      <c r="N97" s="1283"/>
      <c r="P97" s="1283"/>
      <c r="Q97" s="1553"/>
      <c r="R97" s="1553"/>
      <c r="S97" s="1283"/>
      <c r="T97" s="1283"/>
      <c r="U97" s="1283"/>
      <c r="V97" s="1283"/>
      <c r="W97" s="1553"/>
      <c r="X97" s="1283"/>
      <c r="Y97" s="1283"/>
      <c r="Z97" s="478"/>
      <c r="AA97" s="1283"/>
      <c r="AB97" s="1283"/>
      <c r="AC97" s="1283"/>
      <c r="AD97" s="1283"/>
      <c r="AE97" s="1283"/>
      <c r="AF97" s="1549"/>
      <c r="AG97" s="556"/>
      <c r="AH97" s="556"/>
      <c r="AI97" s="556"/>
      <c r="AJ97" s="556"/>
      <c r="AK97" s="1558">
        <v>11</v>
      </c>
    </row>
    <row r="98" spans="1:37" s="2212" customFormat="1" ht="11.5" customHeight="1">
      <c r="A98" s="909"/>
      <c r="B98" s="909"/>
      <c r="C98" s="909"/>
      <c r="D98" s="909"/>
      <c r="E98" s="909"/>
      <c r="F98" s="1553"/>
      <c r="G98" s="1553"/>
      <c r="H98" s="285"/>
      <c r="N98" s="1283"/>
      <c r="P98" s="1283"/>
      <c r="Q98" s="1553"/>
      <c r="R98" s="1553"/>
      <c r="S98" s="1283"/>
      <c r="T98" s="1283"/>
      <c r="U98" s="1283"/>
      <c r="V98" s="1283"/>
      <c r="W98" s="1553"/>
      <c r="X98" s="1283"/>
      <c r="Y98" s="1283"/>
      <c r="Z98" s="478"/>
      <c r="AA98" s="1283"/>
      <c r="AB98" s="1283"/>
      <c r="AC98" s="1283"/>
      <c r="AD98" s="1283"/>
      <c r="AE98" s="1283"/>
      <c r="AF98" s="1549"/>
      <c r="AG98" s="556"/>
      <c r="AH98" s="556"/>
      <c r="AI98" s="556"/>
      <c r="AJ98" s="556"/>
      <c r="AK98" s="1558">
        <v>11</v>
      </c>
    </row>
    <row r="99" spans="1:37" s="2212" customFormat="1" ht="11.5" customHeight="1">
      <c r="A99" s="909"/>
      <c r="B99" s="909"/>
      <c r="C99" s="909"/>
      <c r="D99" s="909"/>
      <c r="E99" s="909"/>
      <c r="F99" s="1553"/>
      <c r="G99" s="1553"/>
      <c r="H99" s="285"/>
      <c r="N99" s="1283"/>
      <c r="P99" s="1283"/>
      <c r="Q99" s="1553"/>
      <c r="R99" s="1553"/>
      <c r="S99" s="1283"/>
      <c r="T99" s="1283"/>
      <c r="U99" s="1283"/>
      <c r="V99" s="1283"/>
      <c r="W99" s="1553"/>
      <c r="X99" s="1283"/>
      <c r="Y99" s="1283"/>
      <c r="Z99" s="478"/>
      <c r="AA99" s="1283"/>
      <c r="AB99" s="1283"/>
      <c r="AC99" s="1283"/>
      <c r="AD99" s="1283"/>
      <c r="AE99" s="1283"/>
      <c r="AF99" s="1549"/>
      <c r="AG99" s="556"/>
      <c r="AH99" s="556"/>
      <c r="AI99" s="556"/>
      <c r="AJ99" s="556"/>
      <c r="AK99" s="1558">
        <v>11</v>
      </c>
    </row>
    <row r="100" spans="1:37" s="2212" customFormat="1" ht="11.5" customHeight="1">
      <c r="A100" s="909"/>
      <c r="B100" s="909"/>
      <c r="C100" s="909"/>
      <c r="D100" s="909"/>
      <c r="E100" s="909"/>
      <c r="F100" s="1553"/>
      <c r="G100" s="1553"/>
      <c r="H100" s="285"/>
      <c r="N100" s="1283"/>
      <c r="P100" s="1283"/>
      <c r="Q100" s="1553"/>
      <c r="R100" s="1553"/>
      <c r="S100" s="1283"/>
      <c r="T100" s="1283"/>
      <c r="U100" s="1283"/>
      <c r="V100" s="1283"/>
      <c r="W100" s="1553"/>
      <c r="X100" s="1283"/>
      <c r="Y100" s="1283"/>
      <c r="Z100" s="478"/>
      <c r="AA100" s="1283"/>
      <c r="AB100" s="1283"/>
      <c r="AC100" s="1283"/>
      <c r="AD100" s="1283"/>
      <c r="AE100" s="1283"/>
      <c r="AF100" s="1549"/>
      <c r="AG100" s="556"/>
      <c r="AH100" s="556"/>
      <c r="AI100" s="556"/>
      <c r="AJ100" s="556"/>
      <c r="AK100" s="1558">
        <v>11</v>
      </c>
    </row>
    <row r="101" spans="1:37" s="2212" customFormat="1" ht="11.5" customHeight="1">
      <c r="A101" s="909"/>
      <c r="B101" s="909"/>
      <c r="C101" s="909"/>
      <c r="D101" s="909"/>
      <c r="E101" s="909"/>
      <c r="F101" s="1553"/>
      <c r="G101" s="1553"/>
      <c r="H101" s="285"/>
      <c r="N101" s="1283"/>
      <c r="P101" s="1283"/>
      <c r="Q101" s="1553"/>
      <c r="R101" s="1553"/>
      <c r="S101" s="1283"/>
      <c r="T101" s="1283"/>
      <c r="U101" s="1283"/>
      <c r="V101" s="1283"/>
      <c r="W101" s="1553"/>
      <c r="X101" s="1283"/>
      <c r="Y101" s="1283"/>
      <c r="Z101" s="478"/>
      <c r="AA101" s="1283"/>
      <c r="AB101" s="1283"/>
      <c r="AC101" s="1283"/>
      <c r="AD101" s="1283"/>
      <c r="AE101" s="1283"/>
      <c r="AF101" s="1549"/>
      <c r="AG101" s="556"/>
      <c r="AH101" s="556"/>
      <c r="AI101" s="556"/>
      <c r="AJ101" s="556"/>
      <c r="AK101" s="1558">
        <v>11</v>
      </c>
    </row>
    <row r="102" spans="1:37" s="2212" customFormat="1" ht="11.5" customHeight="1">
      <c r="A102" s="909"/>
      <c r="B102" s="909"/>
      <c r="C102" s="909"/>
      <c r="D102" s="909"/>
      <c r="E102" s="909"/>
      <c r="F102" s="1553"/>
      <c r="G102" s="1553"/>
      <c r="H102" s="285"/>
      <c r="N102" s="1283"/>
      <c r="P102" s="1283"/>
      <c r="Q102" s="1553"/>
      <c r="R102" s="1553"/>
      <c r="S102" s="1283"/>
      <c r="T102" s="1283"/>
      <c r="U102" s="1283"/>
      <c r="V102" s="1283"/>
      <c r="W102" s="1553"/>
      <c r="X102" s="1283"/>
      <c r="Y102" s="1283"/>
      <c r="Z102" s="478"/>
      <c r="AA102" s="1283"/>
      <c r="AB102" s="1283"/>
      <c r="AC102" s="1283"/>
      <c r="AD102" s="1283"/>
      <c r="AE102" s="1283"/>
      <c r="AF102" s="1549"/>
      <c r="AG102" s="556"/>
      <c r="AH102" s="556"/>
      <c r="AI102" s="556"/>
      <c r="AJ102" s="556"/>
      <c r="AK102" s="1558">
        <v>11</v>
      </c>
    </row>
    <row r="103" spans="1:37" s="2212" customFormat="1" ht="11.5" customHeight="1">
      <c r="A103" s="909"/>
      <c r="B103" s="909"/>
      <c r="C103" s="909"/>
      <c r="D103" s="909"/>
      <c r="E103" s="909"/>
      <c r="F103" s="1553"/>
      <c r="G103" s="1553"/>
      <c r="H103" s="285"/>
      <c r="N103" s="1283"/>
      <c r="P103" s="1283"/>
      <c r="Q103" s="1553"/>
      <c r="R103" s="1553"/>
      <c r="S103" s="1283"/>
      <c r="T103" s="1283"/>
      <c r="U103" s="1283"/>
      <c r="V103" s="1283"/>
      <c r="W103" s="1553"/>
      <c r="X103" s="1283"/>
      <c r="Y103" s="1283"/>
      <c r="Z103" s="478"/>
      <c r="AA103" s="1283"/>
      <c r="AB103" s="1283"/>
      <c r="AC103" s="1283"/>
      <c r="AD103" s="1283"/>
      <c r="AE103" s="1283"/>
      <c r="AF103" s="1549"/>
      <c r="AG103" s="556"/>
      <c r="AH103" s="556"/>
      <c r="AI103" s="556"/>
      <c r="AJ103" s="556"/>
      <c r="AK103" s="1558">
        <v>11</v>
      </c>
    </row>
    <row r="104" spans="1:37" s="2212" customFormat="1" ht="11.5" customHeight="1">
      <c r="A104" s="909"/>
      <c r="B104" s="909"/>
      <c r="C104" s="909"/>
      <c r="D104" s="909"/>
      <c r="E104" s="909"/>
      <c r="F104" s="1553"/>
      <c r="G104" s="1553"/>
      <c r="H104" s="285"/>
      <c r="N104" s="1283"/>
      <c r="P104" s="1283"/>
      <c r="Q104" s="1553"/>
      <c r="R104" s="1553"/>
      <c r="S104" s="1283"/>
      <c r="T104" s="1283"/>
      <c r="U104" s="1283"/>
      <c r="V104" s="1283"/>
      <c r="W104" s="1553"/>
      <c r="X104" s="1283"/>
      <c r="Y104" s="1283"/>
      <c r="Z104" s="478"/>
      <c r="AA104" s="1283"/>
      <c r="AB104" s="1283"/>
      <c r="AC104" s="1283"/>
      <c r="AD104" s="1283"/>
      <c r="AE104" s="1283"/>
      <c r="AF104" s="1549"/>
      <c r="AG104" s="556"/>
      <c r="AH104" s="556"/>
      <c r="AI104" s="556"/>
      <c r="AJ104" s="556"/>
      <c r="AK104" s="1558">
        <v>11</v>
      </c>
    </row>
    <row r="105" spans="1:37" s="2212" customFormat="1" ht="11.5" customHeight="1">
      <c r="A105" s="909"/>
      <c r="B105" s="909"/>
      <c r="C105" s="909"/>
      <c r="D105" s="909"/>
      <c r="E105" s="909"/>
      <c r="F105" s="1553"/>
      <c r="G105" s="1553"/>
      <c r="H105" s="285"/>
      <c r="N105" s="1283"/>
      <c r="P105" s="1283"/>
      <c r="Q105" s="1553"/>
      <c r="R105" s="1553"/>
      <c r="S105" s="1283"/>
      <c r="T105" s="1283"/>
      <c r="U105" s="1283"/>
      <c r="V105" s="1283"/>
      <c r="W105" s="1553"/>
      <c r="X105" s="1283"/>
      <c r="Y105" s="1283"/>
      <c r="Z105" s="478"/>
      <c r="AA105" s="1283"/>
      <c r="AB105" s="1283"/>
      <c r="AC105" s="1283"/>
      <c r="AD105" s="1283"/>
      <c r="AE105" s="1283"/>
      <c r="AF105" s="1549"/>
      <c r="AG105" s="556"/>
      <c r="AH105" s="556"/>
      <c r="AI105" s="556"/>
      <c r="AJ105" s="556"/>
      <c r="AK105" s="1558">
        <v>11</v>
      </c>
    </row>
    <row r="106" spans="1:37" s="2212" customFormat="1" ht="11.5" customHeight="1">
      <c r="A106" s="909"/>
      <c r="B106" s="909"/>
      <c r="C106" s="909"/>
      <c r="D106" s="909"/>
      <c r="E106" s="909"/>
      <c r="F106" s="1553"/>
      <c r="G106" s="1553"/>
      <c r="H106" s="285"/>
      <c r="N106" s="1283"/>
      <c r="P106" s="1283"/>
      <c r="Q106" s="1553"/>
      <c r="R106" s="1553"/>
      <c r="S106" s="1283"/>
      <c r="T106" s="1283"/>
      <c r="U106" s="1283"/>
      <c r="V106" s="1283"/>
      <c r="W106" s="1553"/>
      <c r="X106" s="1283"/>
      <c r="Y106" s="1283"/>
      <c r="Z106" s="478"/>
      <c r="AA106" s="1283"/>
      <c r="AB106" s="1283"/>
      <c r="AC106" s="1283"/>
      <c r="AD106" s="1283"/>
      <c r="AE106" s="1283"/>
      <c r="AF106" s="1549"/>
      <c r="AG106" s="556"/>
      <c r="AH106" s="556"/>
      <c r="AI106" s="556"/>
      <c r="AJ106" s="556"/>
      <c r="AK106" s="1558">
        <v>11</v>
      </c>
    </row>
    <row r="107" spans="1:37" s="2212" customFormat="1" ht="11.5" customHeight="1">
      <c r="A107" s="909"/>
      <c r="B107" s="909"/>
      <c r="C107" s="909"/>
      <c r="D107" s="909"/>
      <c r="E107" s="909"/>
      <c r="F107" s="1553"/>
      <c r="G107" s="1553"/>
      <c r="H107" s="285"/>
      <c r="N107" s="1283"/>
      <c r="P107" s="1283"/>
      <c r="Q107" s="1553"/>
      <c r="R107" s="1553"/>
      <c r="S107" s="1283"/>
      <c r="T107" s="1283"/>
      <c r="U107" s="1283"/>
      <c r="V107" s="1283"/>
      <c r="W107" s="1553"/>
      <c r="X107" s="1283"/>
      <c r="Y107" s="1283"/>
      <c r="Z107" s="478"/>
      <c r="AA107" s="1283"/>
      <c r="AB107" s="1283"/>
      <c r="AC107" s="1283"/>
      <c r="AD107" s="1283"/>
      <c r="AE107" s="1283"/>
      <c r="AF107" s="1549"/>
      <c r="AG107" s="556"/>
      <c r="AH107" s="556"/>
      <c r="AI107" s="556"/>
      <c r="AJ107" s="556"/>
      <c r="AK107" s="1558">
        <v>11</v>
      </c>
    </row>
    <row r="108" spans="1:37" s="2212" customFormat="1" ht="11.5" customHeight="1">
      <c r="A108" s="909"/>
      <c r="B108" s="909"/>
      <c r="C108" s="909"/>
      <c r="D108" s="909"/>
      <c r="E108" s="909"/>
      <c r="F108" s="1553"/>
      <c r="G108" s="1553"/>
      <c r="H108" s="285"/>
      <c r="N108" s="1283"/>
      <c r="P108" s="1283"/>
      <c r="Q108" s="1553"/>
      <c r="R108" s="1553"/>
      <c r="S108" s="1283"/>
      <c r="T108" s="1283"/>
      <c r="U108" s="1283"/>
      <c r="V108" s="1283"/>
      <c r="W108" s="1553"/>
      <c r="X108" s="1283"/>
      <c r="Y108" s="1283"/>
      <c r="Z108" s="478"/>
      <c r="AA108" s="1283"/>
      <c r="AB108" s="1283"/>
      <c r="AC108" s="1283"/>
      <c r="AD108" s="1283"/>
      <c r="AE108" s="1283"/>
      <c r="AF108" s="1549"/>
      <c r="AG108" s="556"/>
      <c r="AH108" s="556"/>
      <c r="AI108" s="556"/>
      <c r="AJ108" s="556"/>
      <c r="AK108" s="1558">
        <v>11</v>
      </c>
    </row>
    <row r="109" spans="1:37" s="2212" customFormat="1" ht="11.5" customHeight="1">
      <c r="A109" s="909"/>
      <c r="B109" s="909"/>
      <c r="C109" s="909"/>
      <c r="D109" s="909"/>
      <c r="E109" s="909"/>
      <c r="F109" s="1553"/>
      <c r="G109" s="1553"/>
      <c r="H109" s="285"/>
      <c r="N109" s="1283"/>
      <c r="P109" s="1283"/>
      <c r="Q109" s="1553"/>
      <c r="R109" s="1553"/>
      <c r="S109" s="1283"/>
      <c r="T109" s="1283"/>
      <c r="U109" s="1283"/>
      <c r="V109" s="1283"/>
      <c r="W109" s="1553"/>
      <c r="X109" s="1283"/>
      <c r="Y109" s="1283"/>
      <c r="Z109" s="478"/>
      <c r="AA109" s="1283"/>
      <c r="AB109" s="1283"/>
      <c r="AC109" s="1283"/>
      <c r="AD109" s="1283"/>
      <c r="AE109" s="1283"/>
      <c r="AF109" s="1549"/>
      <c r="AG109" s="556"/>
      <c r="AH109" s="556"/>
      <c r="AI109" s="556"/>
      <c r="AJ109" s="556"/>
      <c r="AK109" s="1558">
        <v>11</v>
      </c>
    </row>
    <row r="110" spans="1:37" s="2212" customFormat="1" ht="11.5" customHeight="1">
      <c r="A110" s="909"/>
      <c r="B110" s="909"/>
      <c r="C110" s="909"/>
      <c r="D110" s="909"/>
      <c r="E110" s="909"/>
      <c r="F110" s="1553"/>
      <c r="G110" s="1553"/>
      <c r="H110" s="285"/>
      <c r="N110" s="1283"/>
      <c r="P110" s="1283"/>
      <c r="Q110" s="1553"/>
      <c r="R110" s="1553"/>
      <c r="S110" s="1283"/>
      <c r="T110" s="1283"/>
      <c r="U110" s="1283"/>
      <c r="V110" s="1283"/>
      <c r="W110" s="1553"/>
      <c r="X110" s="1283"/>
      <c r="Y110" s="1283"/>
      <c r="Z110" s="478"/>
      <c r="AA110" s="1283"/>
      <c r="AB110" s="1283"/>
      <c r="AC110" s="1283"/>
      <c r="AD110" s="1283"/>
      <c r="AE110" s="1283"/>
      <c r="AF110" s="1549"/>
      <c r="AG110" s="556"/>
      <c r="AH110" s="556"/>
      <c r="AI110" s="556"/>
      <c r="AJ110" s="556"/>
      <c r="AK110" s="1558">
        <v>11</v>
      </c>
    </row>
    <row r="111" spans="1:37" s="2212" customFormat="1" ht="11.5" customHeight="1">
      <c r="A111" s="909"/>
      <c r="B111" s="909"/>
      <c r="C111" s="909"/>
      <c r="D111" s="909"/>
      <c r="E111" s="909"/>
      <c r="F111" s="1553"/>
      <c r="G111" s="1553"/>
      <c r="H111" s="285"/>
      <c r="N111" s="1283"/>
      <c r="P111" s="1283"/>
      <c r="Q111" s="1553"/>
      <c r="R111" s="1553"/>
      <c r="S111" s="1283"/>
      <c r="T111" s="1283"/>
      <c r="U111" s="1283"/>
      <c r="V111" s="1283"/>
      <c r="W111" s="1553"/>
      <c r="X111" s="1283"/>
      <c r="Y111" s="1283"/>
      <c r="Z111" s="478"/>
      <c r="AA111" s="1283"/>
      <c r="AB111" s="1283"/>
      <c r="AC111" s="1283"/>
      <c r="AD111" s="1283"/>
      <c r="AE111" s="1283"/>
      <c r="AF111" s="1549"/>
      <c r="AG111" s="556"/>
      <c r="AH111" s="556"/>
      <c r="AI111" s="556"/>
      <c r="AJ111" s="556"/>
      <c r="AK111" s="1558">
        <v>11</v>
      </c>
    </row>
    <row r="112" spans="1:37" s="2212" customFormat="1" ht="11.5" customHeight="1">
      <c r="A112" s="909"/>
      <c r="B112" s="909"/>
      <c r="C112" s="909"/>
      <c r="D112" s="909"/>
      <c r="E112" s="909"/>
      <c r="F112" s="1553"/>
      <c r="G112" s="1553"/>
      <c r="H112" s="285"/>
      <c r="N112" s="1283"/>
      <c r="P112" s="1283"/>
      <c r="Q112" s="1553"/>
      <c r="R112" s="1553"/>
      <c r="S112" s="1283"/>
      <c r="T112" s="1283"/>
      <c r="U112" s="1283"/>
      <c r="V112" s="1283"/>
      <c r="W112" s="1553"/>
      <c r="X112" s="1283"/>
      <c r="Y112" s="1283"/>
      <c r="Z112" s="478"/>
      <c r="AA112" s="1283"/>
      <c r="AB112" s="1283"/>
      <c r="AC112" s="1283"/>
      <c r="AD112" s="1283"/>
      <c r="AE112" s="1283"/>
      <c r="AF112" s="1549"/>
      <c r="AG112" s="556"/>
      <c r="AH112" s="556"/>
      <c r="AI112" s="556"/>
      <c r="AJ112" s="556"/>
      <c r="AK112" s="1558">
        <v>11</v>
      </c>
    </row>
    <row r="113" spans="1:37" s="2212" customFormat="1" ht="11.5" customHeight="1">
      <c r="A113" s="909"/>
      <c r="B113" s="909"/>
      <c r="C113" s="909"/>
      <c r="D113" s="909"/>
      <c r="E113" s="909"/>
      <c r="F113" s="1553"/>
      <c r="G113" s="1553"/>
      <c r="H113" s="285"/>
      <c r="N113" s="1283"/>
      <c r="P113" s="1283"/>
      <c r="Q113" s="1553"/>
      <c r="R113" s="1553"/>
      <c r="S113" s="1283"/>
      <c r="T113" s="1283"/>
      <c r="U113" s="1283"/>
      <c r="V113" s="1283"/>
      <c r="W113" s="1553"/>
      <c r="X113" s="1283"/>
      <c r="Y113" s="1283"/>
      <c r="Z113" s="478"/>
      <c r="AA113" s="1283"/>
      <c r="AB113" s="1283"/>
      <c r="AC113" s="1283"/>
      <c r="AD113" s="1283"/>
      <c r="AE113" s="1283"/>
      <c r="AF113" s="1549"/>
      <c r="AG113" s="556"/>
      <c r="AH113" s="556"/>
      <c r="AI113" s="556"/>
      <c r="AJ113" s="556"/>
      <c r="AK113" s="1558">
        <v>11</v>
      </c>
    </row>
    <row r="114" spans="1:37" s="2212" customFormat="1" ht="11.5" customHeight="1">
      <c r="A114" s="909"/>
      <c r="B114" s="909"/>
      <c r="C114" s="909"/>
      <c r="D114" s="909"/>
      <c r="E114" s="909"/>
      <c r="F114" s="1553"/>
      <c r="G114" s="1553"/>
      <c r="H114" s="285"/>
      <c r="N114" s="1283"/>
      <c r="P114" s="1283"/>
      <c r="Q114" s="1553"/>
      <c r="R114" s="1553"/>
      <c r="S114" s="1283"/>
      <c r="T114" s="1283"/>
      <c r="U114" s="1283"/>
      <c r="V114" s="1283"/>
      <c r="W114" s="1553"/>
      <c r="X114" s="1283"/>
      <c r="Y114" s="1283"/>
      <c r="Z114" s="478"/>
      <c r="AA114" s="1283"/>
      <c r="AB114" s="1283"/>
      <c r="AC114" s="1283"/>
      <c r="AD114" s="1283"/>
      <c r="AE114" s="1283"/>
      <c r="AF114" s="1549"/>
      <c r="AG114" s="556"/>
      <c r="AH114" s="556"/>
      <c r="AI114" s="556"/>
      <c r="AJ114" s="556"/>
      <c r="AK114" s="1558">
        <v>11</v>
      </c>
    </row>
    <row r="115" spans="1:37" s="2212" customFormat="1" ht="11.5" customHeight="1">
      <c r="A115" s="909"/>
      <c r="B115" s="909"/>
      <c r="C115" s="909"/>
      <c r="D115" s="909"/>
      <c r="E115" s="909"/>
      <c r="F115" s="1553"/>
      <c r="G115" s="1553"/>
      <c r="H115" s="285"/>
      <c r="N115" s="1283"/>
      <c r="P115" s="1283"/>
      <c r="Q115" s="1553"/>
      <c r="R115" s="1553"/>
      <c r="S115" s="1283"/>
      <c r="T115" s="1283"/>
      <c r="U115" s="1283"/>
      <c r="V115" s="1283"/>
      <c r="W115" s="1553"/>
      <c r="X115" s="1283"/>
      <c r="Y115" s="1283"/>
      <c r="Z115" s="478"/>
      <c r="AA115" s="1283"/>
      <c r="AB115" s="1283"/>
      <c r="AC115" s="1283"/>
      <c r="AD115" s="1283"/>
      <c r="AE115" s="1283"/>
      <c r="AF115" s="1549"/>
      <c r="AG115" s="556"/>
      <c r="AH115" s="556"/>
      <c r="AI115" s="556"/>
      <c r="AJ115" s="556"/>
      <c r="AK115" s="1558">
        <v>11</v>
      </c>
    </row>
    <row r="116" spans="1:37" s="2212" customFormat="1" ht="11.5" customHeight="1">
      <c r="A116" s="909"/>
      <c r="B116" s="909"/>
      <c r="C116" s="909"/>
      <c r="D116" s="909"/>
      <c r="E116" s="909"/>
      <c r="F116" s="1553"/>
      <c r="G116" s="1553"/>
      <c r="H116" s="285"/>
      <c r="N116" s="1283"/>
      <c r="P116" s="1283"/>
      <c r="Q116" s="1553"/>
      <c r="R116" s="1553"/>
      <c r="S116" s="1283"/>
      <c r="T116" s="1283"/>
      <c r="U116" s="1283"/>
      <c r="V116" s="1283"/>
      <c r="W116" s="1553"/>
      <c r="X116" s="1283"/>
      <c r="Y116" s="1283"/>
      <c r="Z116" s="478"/>
      <c r="AA116" s="1283"/>
      <c r="AB116" s="1283"/>
      <c r="AC116" s="1283"/>
      <c r="AD116" s="1283"/>
      <c r="AE116" s="1283"/>
      <c r="AF116" s="1549"/>
      <c r="AG116" s="556"/>
      <c r="AH116" s="556"/>
      <c r="AI116" s="556"/>
      <c r="AJ116" s="556"/>
      <c r="AK116" s="1558">
        <v>11</v>
      </c>
    </row>
    <row r="117" spans="1:37" s="2212" customFormat="1" ht="11.5" customHeight="1">
      <c r="A117" s="909"/>
      <c r="B117" s="909"/>
      <c r="C117" s="909"/>
      <c r="D117" s="909"/>
      <c r="E117" s="909"/>
      <c r="F117" s="1553"/>
      <c r="G117" s="1553"/>
      <c r="H117" s="285"/>
      <c r="N117" s="1283"/>
      <c r="P117" s="1283"/>
      <c r="Q117" s="1553"/>
      <c r="R117" s="1553"/>
      <c r="S117" s="1283"/>
      <c r="T117" s="1283"/>
      <c r="U117" s="1283"/>
      <c r="V117" s="1283"/>
      <c r="W117" s="1553"/>
      <c r="X117" s="1283"/>
      <c r="Y117" s="1283"/>
      <c r="Z117" s="478"/>
      <c r="AA117" s="1283"/>
      <c r="AB117" s="1283"/>
      <c r="AC117" s="1283"/>
      <c r="AD117" s="1283"/>
      <c r="AE117" s="1283"/>
      <c r="AF117" s="1549"/>
      <c r="AG117" s="556"/>
      <c r="AH117" s="556"/>
      <c r="AI117" s="556"/>
      <c r="AJ117" s="556"/>
      <c r="AK117" s="1558">
        <v>11</v>
      </c>
    </row>
    <row r="118" spans="1:37" s="2212" customFormat="1" ht="11.5" customHeight="1">
      <c r="A118" s="909"/>
      <c r="B118" s="909"/>
      <c r="C118" s="909"/>
      <c r="D118" s="909"/>
      <c r="E118" s="909"/>
      <c r="F118" s="1553"/>
      <c r="G118" s="1553"/>
      <c r="H118" s="285"/>
      <c r="N118" s="1283"/>
      <c r="P118" s="1283"/>
      <c r="Q118" s="1553"/>
      <c r="R118" s="1553"/>
      <c r="S118" s="1283"/>
      <c r="T118" s="1283"/>
      <c r="U118" s="1283"/>
      <c r="V118" s="1283"/>
      <c r="W118" s="1553"/>
      <c r="X118" s="1283"/>
      <c r="Y118" s="1283"/>
      <c r="Z118" s="478"/>
      <c r="AA118" s="1283"/>
      <c r="AB118" s="1283"/>
      <c r="AC118" s="1283"/>
      <c r="AD118" s="1283"/>
      <c r="AE118" s="1283"/>
      <c r="AF118" s="1549"/>
      <c r="AG118" s="556"/>
      <c r="AH118" s="556"/>
      <c r="AI118" s="556"/>
      <c r="AJ118" s="556"/>
      <c r="AK118" s="1558">
        <v>11</v>
      </c>
    </row>
    <row r="119" spans="1:37" s="2212" customFormat="1" ht="11.5" customHeight="1">
      <c r="A119" s="909"/>
      <c r="B119" s="909"/>
      <c r="C119" s="909"/>
      <c r="D119" s="909"/>
      <c r="E119" s="909"/>
      <c r="F119" s="1553"/>
      <c r="G119" s="1553"/>
      <c r="H119" s="285"/>
      <c r="N119" s="1283"/>
      <c r="P119" s="1283"/>
      <c r="Q119" s="1553"/>
      <c r="R119" s="1553"/>
      <c r="S119" s="1283"/>
      <c r="T119" s="1283"/>
      <c r="U119" s="1283"/>
      <c r="V119" s="1283"/>
      <c r="W119" s="1553"/>
      <c r="X119" s="1283"/>
      <c r="Y119" s="1283"/>
      <c r="Z119" s="478"/>
      <c r="AA119" s="1283"/>
      <c r="AB119" s="1283"/>
      <c r="AC119" s="1283"/>
      <c r="AD119" s="1283"/>
      <c r="AE119" s="1283"/>
      <c r="AF119" s="1549"/>
      <c r="AG119" s="556"/>
      <c r="AH119" s="556"/>
      <c r="AI119" s="556"/>
      <c r="AJ119" s="556"/>
      <c r="AK119" s="1558">
        <v>11</v>
      </c>
    </row>
    <row r="120" spans="1:37" s="2212" customFormat="1" ht="11.5" customHeight="1">
      <c r="A120" s="909"/>
      <c r="B120" s="909"/>
      <c r="C120" s="909"/>
      <c r="D120" s="909"/>
      <c r="E120" s="909"/>
      <c r="F120" s="1553"/>
      <c r="G120" s="1553"/>
      <c r="H120" s="285"/>
      <c r="N120" s="1283"/>
      <c r="P120" s="1283"/>
      <c r="Q120" s="1553"/>
      <c r="R120" s="1553"/>
      <c r="S120" s="1283"/>
      <c r="T120" s="1283"/>
      <c r="U120" s="1283"/>
      <c r="V120" s="1283"/>
      <c r="W120" s="1553"/>
      <c r="X120" s="1283"/>
      <c r="Y120" s="1283"/>
      <c r="Z120" s="478"/>
      <c r="AA120" s="1283"/>
      <c r="AB120" s="1283"/>
      <c r="AC120" s="1283"/>
      <c r="AD120" s="1283"/>
      <c r="AE120" s="1283"/>
      <c r="AF120" s="1549"/>
      <c r="AG120" s="556"/>
      <c r="AH120" s="556"/>
      <c r="AI120" s="556"/>
      <c r="AJ120" s="556"/>
      <c r="AK120" s="1558">
        <v>11</v>
      </c>
    </row>
    <row r="121" spans="1:37" s="2212" customFormat="1" ht="11.5" customHeight="1">
      <c r="A121" s="909"/>
      <c r="B121" s="909"/>
      <c r="C121" s="909"/>
      <c r="D121" s="909"/>
      <c r="E121" s="909"/>
      <c r="F121" s="1553"/>
      <c r="G121" s="1553"/>
      <c r="H121" s="285"/>
      <c r="N121" s="1283"/>
      <c r="P121" s="1283"/>
      <c r="Q121" s="1553"/>
      <c r="R121" s="1553"/>
      <c r="S121" s="1283"/>
      <c r="T121" s="1283"/>
      <c r="U121" s="1283"/>
      <c r="V121" s="1283"/>
      <c r="W121" s="1553"/>
      <c r="X121" s="1283"/>
      <c r="Y121" s="1283"/>
      <c r="Z121" s="478"/>
      <c r="AA121" s="1283"/>
      <c r="AB121" s="1283"/>
      <c r="AC121" s="1283"/>
      <c r="AD121" s="1283"/>
      <c r="AE121" s="1283"/>
      <c r="AF121" s="1549"/>
      <c r="AG121" s="556"/>
      <c r="AH121" s="556"/>
      <c r="AI121" s="556"/>
      <c r="AJ121" s="556"/>
      <c r="AK121" s="1558">
        <v>11</v>
      </c>
    </row>
    <row r="122" spans="1:37" s="2212" customFormat="1" ht="11.5" customHeight="1">
      <c r="A122" s="909"/>
      <c r="B122" s="909"/>
      <c r="C122" s="909"/>
      <c r="D122" s="909"/>
      <c r="E122" s="909"/>
      <c r="F122" s="1553"/>
      <c r="G122" s="1553"/>
      <c r="H122" s="285"/>
      <c r="N122" s="1283"/>
      <c r="P122" s="1283"/>
      <c r="Q122" s="1553"/>
      <c r="R122" s="1553"/>
      <c r="S122" s="1283"/>
      <c r="T122" s="1283"/>
      <c r="U122" s="1283"/>
      <c r="V122" s="1283"/>
      <c r="W122" s="1553"/>
      <c r="X122" s="1283"/>
      <c r="Y122" s="1283"/>
      <c r="Z122" s="478"/>
      <c r="AA122" s="1283"/>
      <c r="AB122" s="1283"/>
      <c r="AC122" s="1283"/>
      <c r="AD122" s="1283"/>
      <c r="AE122" s="1283"/>
      <c r="AF122" s="1549"/>
      <c r="AG122" s="556"/>
      <c r="AH122" s="556"/>
      <c r="AI122" s="556"/>
      <c r="AJ122" s="556"/>
      <c r="AK122" s="1558">
        <v>11</v>
      </c>
    </row>
    <row r="123" spans="1:37" s="2212" customFormat="1" ht="11.5" customHeight="1">
      <c r="A123" s="909"/>
      <c r="B123" s="909"/>
      <c r="C123" s="909"/>
      <c r="D123" s="909"/>
      <c r="E123" s="909"/>
      <c r="F123" s="1553"/>
      <c r="G123" s="1553"/>
      <c r="H123" s="285"/>
      <c r="N123" s="1283"/>
      <c r="P123" s="1283"/>
      <c r="Q123" s="1553"/>
      <c r="R123" s="1553"/>
      <c r="S123" s="1283"/>
      <c r="T123" s="1283"/>
      <c r="U123" s="1283"/>
      <c r="V123" s="1283"/>
      <c r="W123" s="1553"/>
      <c r="X123" s="1283"/>
      <c r="Y123" s="1283"/>
      <c r="Z123" s="478"/>
      <c r="AA123" s="1283"/>
      <c r="AB123" s="1283"/>
      <c r="AC123" s="1283"/>
      <c r="AD123" s="1283"/>
      <c r="AE123" s="1283"/>
      <c r="AF123" s="1549"/>
      <c r="AG123" s="556"/>
      <c r="AH123" s="556"/>
      <c r="AI123" s="556"/>
      <c r="AJ123" s="556"/>
      <c r="AK123" s="1558">
        <v>11</v>
      </c>
    </row>
    <row r="124" spans="1:37" s="2212" customFormat="1" ht="11.5" customHeight="1">
      <c r="A124" s="909"/>
      <c r="B124" s="909"/>
      <c r="C124" s="909"/>
      <c r="D124" s="909"/>
      <c r="E124" s="909"/>
      <c r="F124" s="1553"/>
      <c r="G124" s="1553"/>
      <c r="H124" s="285"/>
      <c r="N124" s="1283"/>
      <c r="P124" s="1283"/>
      <c r="Q124" s="1553"/>
      <c r="R124" s="1553"/>
      <c r="S124" s="1283"/>
      <c r="T124" s="1283"/>
      <c r="U124" s="1283"/>
      <c r="V124" s="1283"/>
      <c r="W124" s="1553"/>
      <c r="X124" s="1283"/>
      <c r="Y124" s="1283"/>
      <c r="Z124" s="478"/>
      <c r="AA124" s="1283"/>
      <c r="AB124" s="1283"/>
      <c r="AC124" s="1283"/>
      <c r="AD124" s="1283"/>
      <c r="AE124" s="1283"/>
      <c r="AF124" s="1549"/>
      <c r="AG124" s="556"/>
      <c r="AH124" s="556"/>
      <c r="AI124" s="556"/>
      <c r="AJ124" s="556"/>
      <c r="AK124" s="1558">
        <v>11</v>
      </c>
    </row>
    <row r="125" spans="1:37" s="2212" customFormat="1" ht="11.5" customHeight="1">
      <c r="A125" s="909"/>
      <c r="B125" s="909"/>
      <c r="C125" s="909"/>
      <c r="D125" s="909"/>
      <c r="E125" s="909"/>
      <c r="F125" s="1553"/>
      <c r="G125" s="1553"/>
      <c r="H125" s="285"/>
      <c r="N125" s="1283"/>
      <c r="P125" s="1283"/>
      <c r="Q125" s="1553"/>
      <c r="R125" s="1553"/>
      <c r="S125" s="1283"/>
      <c r="T125" s="1283"/>
      <c r="U125" s="1283"/>
      <c r="V125" s="1283"/>
      <c r="W125" s="1553"/>
      <c r="X125" s="1283"/>
      <c r="Y125" s="1283"/>
      <c r="Z125" s="478"/>
      <c r="AA125" s="1283"/>
      <c r="AB125" s="1283"/>
      <c r="AC125" s="1283"/>
      <c r="AD125" s="1283"/>
      <c r="AE125" s="1283"/>
      <c r="AF125" s="1549"/>
      <c r="AG125" s="556"/>
      <c r="AH125" s="556"/>
      <c r="AI125" s="556"/>
      <c r="AJ125" s="556"/>
      <c r="AK125" s="1558">
        <v>11</v>
      </c>
    </row>
    <row r="126" spans="1:37" s="2212" customFormat="1" ht="11.5" customHeight="1">
      <c r="A126" s="909"/>
      <c r="B126" s="909"/>
      <c r="C126" s="909"/>
      <c r="D126" s="909"/>
      <c r="E126" s="909"/>
      <c r="F126" s="1553"/>
      <c r="G126" s="1553"/>
      <c r="H126" s="285"/>
      <c r="N126" s="1283"/>
      <c r="P126" s="1283"/>
      <c r="Q126" s="1553"/>
      <c r="R126" s="1553"/>
      <c r="S126" s="1283"/>
      <c r="T126" s="1283"/>
      <c r="U126" s="1283"/>
      <c r="V126" s="1283"/>
      <c r="W126" s="1553"/>
      <c r="X126" s="1283"/>
      <c r="Y126" s="1283"/>
      <c r="Z126" s="478"/>
      <c r="AA126" s="1283"/>
      <c r="AB126" s="1283"/>
      <c r="AC126" s="1283"/>
      <c r="AD126" s="1283"/>
      <c r="AE126" s="1283"/>
      <c r="AF126" s="1549"/>
      <c r="AG126" s="556"/>
      <c r="AH126" s="556"/>
      <c r="AI126" s="556"/>
      <c r="AJ126" s="556"/>
      <c r="AK126" s="1558">
        <v>11</v>
      </c>
    </row>
    <row r="127" spans="1:37" s="2212" customFormat="1" ht="11.5" customHeight="1">
      <c r="A127" s="909"/>
      <c r="B127" s="909"/>
      <c r="C127" s="909"/>
      <c r="D127" s="909"/>
      <c r="E127" s="909"/>
      <c r="F127" s="1553"/>
      <c r="G127" s="1553"/>
      <c r="H127" s="285"/>
      <c r="N127" s="1283"/>
      <c r="P127" s="1283"/>
      <c r="Q127" s="1553"/>
      <c r="R127" s="1553"/>
      <c r="S127" s="1283"/>
      <c r="T127" s="1283"/>
      <c r="U127" s="1283"/>
      <c r="V127" s="1283"/>
      <c r="W127" s="1553"/>
      <c r="X127" s="1283"/>
      <c r="Y127" s="1283"/>
      <c r="Z127" s="478"/>
      <c r="AA127" s="1283"/>
      <c r="AB127" s="1283"/>
      <c r="AC127" s="1283"/>
      <c r="AD127" s="1283"/>
      <c r="AE127" s="1283"/>
      <c r="AF127" s="1549"/>
      <c r="AG127" s="556"/>
      <c r="AH127" s="556"/>
      <c r="AI127" s="556"/>
      <c r="AJ127" s="556"/>
      <c r="AK127" s="1558">
        <v>11</v>
      </c>
    </row>
    <row r="128" spans="1:37" s="2212" customFormat="1" ht="11.5" customHeight="1">
      <c r="A128" s="909"/>
      <c r="B128" s="909"/>
      <c r="C128" s="909"/>
      <c r="D128" s="909"/>
      <c r="E128" s="909"/>
      <c r="F128" s="1553"/>
      <c r="G128" s="1553"/>
      <c r="H128" s="285"/>
      <c r="N128" s="1283"/>
      <c r="P128" s="1283"/>
      <c r="Q128" s="1553"/>
      <c r="R128" s="1553"/>
      <c r="S128" s="1283"/>
      <c r="T128" s="1283"/>
      <c r="U128" s="1283"/>
      <c r="V128" s="1283"/>
      <c r="W128" s="1553"/>
      <c r="X128" s="1283"/>
      <c r="Y128" s="1283"/>
      <c r="Z128" s="478"/>
      <c r="AA128" s="1283"/>
      <c r="AB128" s="1283"/>
      <c r="AC128" s="1283"/>
      <c r="AD128" s="1283"/>
      <c r="AE128" s="1283"/>
      <c r="AF128" s="1549"/>
      <c r="AG128" s="556"/>
      <c r="AH128" s="556"/>
      <c r="AI128" s="556"/>
      <c r="AJ128" s="556"/>
      <c r="AK128" s="1558">
        <v>11</v>
      </c>
    </row>
    <row r="129" spans="1:37" s="2212" customFormat="1" ht="11.5" customHeight="1">
      <c r="A129" s="909"/>
      <c r="B129" s="909"/>
      <c r="C129" s="909"/>
      <c r="D129" s="909"/>
      <c r="E129" s="909"/>
      <c r="F129" s="1553"/>
      <c r="G129" s="1553"/>
      <c r="H129" s="285"/>
      <c r="N129" s="1283"/>
      <c r="P129" s="1283"/>
      <c r="Q129" s="1553"/>
      <c r="R129" s="1553"/>
      <c r="S129" s="1283"/>
      <c r="T129" s="1283"/>
      <c r="U129" s="1283"/>
      <c r="V129" s="1283"/>
      <c r="W129" s="1553"/>
      <c r="X129" s="1283"/>
      <c r="Y129" s="1283"/>
      <c r="Z129" s="478"/>
      <c r="AA129" s="1283"/>
      <c r="AB129" s="1283"/>
      <c r="AC129" s="1283"/>
      <c r="AD129" s="1283"/>
      <c r="AE129" s="1283"/>
      <c r="AF129" s="1549"/>
      <c r="AG129" s="556"/>
      <c r="AH129" s="556"/>
      <c r="AI129" s="556"/>
      <c r="AJ129" s="556"/>
      <c r="AK129" s="1558">
        <v>11</v>
      </c>
    </row>
    <row r="130" spans="1:37" s="2212" customFormat="1" ht="11.5" customHeight="1">
      <c r="A130" s="909"/>
      <c r="B130" s="909"/>
      <c r="C130" s="909"/>
      <c r="D130" s="909"/>
      <c r="E130" s="909"/>
      <c r="F130" s="1553"/>
      <c r="G130" s="1553"/>
      <c r="H130" s="285"/>
      <c r="N130" s="1283"/>
      <c r="P130" s="1283"/>
      <c r="Q130" s="1553"/>
      <c r="R130" s="1553"/>
      <c r="S130" s="1283"/>
      <c r="T130" s="1283"/>
      <c r="U130" s="1283"/>
      <c r="V130" s="1283"/>
      <c r="W130" s="1553"/>
      <c r="X130" s="1283"/>
      <c r="Y130" s="1283"/>
      <c r="Z130" s="478"/>
      <c r="AA130" s="1283"/>
      <c r="AB130" s="1283"/>
      <c r="AC130" s="1283"/>
      <c r="AD130" s="1283"/>
      <c r="AE130" s="1283"/>
      <c r="AF130" s="1549"/>
      <c r="AG130" s="556"/>
      <c r="AH130" s="556"/>
      <c r="AI130" s="556"/>
      <c r="AJ130" s="556"/>
      <c r="AK130" s="1558">
        <v>11</v>
      </c>
    </row>
    <row r="131" spans="1:37" s="2212" customFormat="1" ht="11.5" customHeight="1">
      <c r="A131" s="909"/>
      <c r="B131" s="909"/>
      <c r="C131" s="909"/>
      <c r="D131" s="909"/>
      <c r="E131" s="909"/>
      <c r="F131" s="1553"/>
      <c r="G131" s="1553"/>
      <c r="H131" s="285"/>
      <c r="N131" s="1283"/>
      <c r="P131" s="1283"/>
      <c r="Q131" s="1553"/>
      <c r="R131" s="1553"/>
      <c r="S131" s="1283"/>
      <c r="T131" s="1283"/>
      <c r="U131" s="1283"/>
      <c r="V131" s="1283"/>
      <c r="W131" s="1553"/>
      <c r="X131" s="1283"/>
      <c r="Y131" s="1283"/>
      <c r="Z131" s="478"/>
      <c r="AA131" s="1283"/>
      <c r="AB131" s="1283"/>
      <c r="AC131" s="1283"/>
      <c r="AD131" s="1283"/>
      <c r="AE131" s="1283"/>
      <c r="AF131" s="1549"/>
      <c r="AG131" s="556"/>
      <c r="AH131" s="556"/>
      <c r="AI131" s="556"/>
      <c r="AJ131" s="556"/>
      <c r="AK131" s="1558">
        <v>11</v>
      </c>
    </row>
    <row r="132" spans="1:37" s="2212" customFormat="1" ht="11.5" customHeight="1">
      <c r="A132" s="909"/>
      <c r="B132" s="909"/>
      <c r="C132" s="909"/>
      <c r="D132" s="909"/>
      <c r="E132" s="909"/>
      <c r="F132" s="1553"/>
      <c r="G132" s="1553"/>
      <c r="H132" s="285"/>
      <c r="N132" s="1283"/>
      <c r="P132" s="1283"/>
      <c r="Q132" s="1553"/>
      <c r="R132" s="1553"/>
      <c r="S132" s="1283"/>
      <c r="T132" s="1283"/>
      <c r="U132" s="1283"/>
      <c r="V132" s="1283"/>
      <c r="W132" s="1553"/>
      <c r="X132" s="1283"/>
      <c r="Y132" s="1283"/>
      <c r="Z132" s="478"/>
      <c r="AA132" s="1283"/>
      <c r="AB132" s="1283"/>
      <c r="AC132" s="1283"/>
      <c r="AD132" s="1283"/>
      <c r="AE132" s="1283"/>
      <c r="AF132" s="1549"/>
      <c r="AG132" s="556"/>
      <c r="AH132" s="556"/>
      <c r="AI132" s="556"/>
      <c r="AJ132" s="556"/>
      <c r="AK132" s="1558">
        <v>11</v>
      </c>
    </row>
    <row r="133" spans="1:37" s="2212" customFormat="1" ht="11.5" customHeight="1">
      <c r="A133" s="909"/>
      <c r="B133" s="909"/>
      <c r="C133" s="909"/>
      <c r="D133" s="909"/>
      <c r="E133" s="909"/>
      <c r="F133" s="1553"/>
      <c r="G133" s="1553"/>
      <c r="H133" s="285"/>
      <c r="N133" s="1283"/>
      <c r="P133" s="1283"/>
      <c r="Q133" s="1553"/>
      <c r="R133" s="1553"/>
      <c r="S133" s="1283"/>
      <c r="T133" s="1283"/>
      <c r="U133" s="1283"/>
      <c r="V133" s="1283"/>
      <c r="W133" s="1553"/>
      <c r="X133" s="1283"/>
      <c r="Y133" s="1283"/>
      <c r="Z133" s="478"/>
      <c r="AA133" s="1283"/>
      <c r="AB133" s="1283"/>
      <c r="AC133" s="1283"/>
      <c r="AD133" s="1283"/>
      <c r="AE133" s="1283"/>
      <c r="AF133" s="1549"/>
      <c r="AG133" s="556"/>
      <c r="AH133" s="556"/>
      <c r="AI133" s="556"/>
      <c r="AJ133" s="556"/>
      <c r="AK133" s="1558">
        <v>11</v>
      </c>
    </row>
    <row r="134" spans="1:37" s="2212" customFormat="1" ht="11.5" customHeight="1">
      <c r="A134" s="909"/>
      <c r="B134" s="909"/>
      <c r="C134" s="909"/>
      <c r="D134" s="909"/>
      <c r="E134" s="909"/>
      <c r="F134" s="1553"/>
      <c r="G134" s="1553"/>
      <c r="H134" s="285"/>
      <c r="N134" s="1283"/>
      <c r="P134" s="1283"/>
      <c r="Q134" s="1553"/>
      <c r="R134" s="1553"/>
      <c r="S134" s="1283"/>
      <c r="T134" s="1283"/>
      <c r="U134" s="1283"/>
      <c r="V134" s="1283"/>
      <c r="W134" s="1553"/>
      <c r="X134" s="1283"/>
      <c r="Y134" s="1283"/>
      <c r="Z134" s="478"/>
      <c r="AA134" s="1283"/>
      <c r="AB134" s="1283"/>
      <c r="AC134" s="1283"/>
      <c r="AD134" s="1283"/>
      <c r="AE134" s="1283"/>
      <c r="AF134" s="1549"/>
      <c r="AG134" s="556"/>
      <c r="AH134" s="556"/>
      <c r="AI134" s="556"/>
      <c r="AJ134" s="556"/>
      <c r="AK134" s="1558">
        <v>11</v>
      </c>
    </row>
    <row r="135" spans="1:37" s="2212" customFormat="1" ht="11.5" customHeight="1">
      <c r="A135" s="909"/>
      <c r="B135" s="909"/>
      <c r="C135" s="909"/>
      <c r="D135" s="909"/>
      <c r="E135" s="909"/>
      <c r="F135" s="1553"/>
      <c r="G135" s="1553"/>
      <c r="H135" s="285"/>
      <c r="N135" s="1283"/>
      <c r="P135" s="1283"/>
      <c r="Q135" s="1553"/>
      <c r="R135" s="1553"/>
      <c r="S135" s="1283"/>
      <c r="T135" s="1283"/>
      <c r="U135" s="1283"/>
      <c r="V135" s="1283"/>
      <c r="W135" s="1553"/>
      <c r="X135" s="1283"/>
      <c r="Y135" s="1283"/>
      <c r="Z135" s="478"/>
      <c r="AA135" s="1283"/>
      <c r="AB135" s="1283"/>
      <c r="AC135" s="1283"/>
      <c r="AD135" s="1283"/>
      <c r="AE135" s="1283"/>
      <c r="AF135" s="1549"/>
      <c r="AG135" s="556"/>
      <c r="AH135" s="556"/>
      <c r="AI135" s="556"/>
      <c r="AJ135" s="556"/>
      <c r="AK135" s="1558">
        <v>11</v>
      </c>
    </row>
    <row r="136" spans="1:37" s="2212" customFormat="1" ht="11.5" customHeight="1">
      <c r="A136" s="909"/>
      <c r="B136" s="909"/>
      <c r="C136" s="909"/>
      <c r="D136" s="909"/>
      <c r="E136" s="909"/>
      <c r="F136" s="1553"/>
      <c r="G136" s="1553"/>
      <c r="H136" s="285"/>
      <c r="N136" s="1283"/>
      <c r="P136" s="1283"/>
      <c r="Q136" s="1553"/>
      <c r="R136" s="1553"/>
      <c r="S136" s="1283"/>
      <c r="T136" s="1283"/>
      <c r="U136" s="1283"/>
      <c r="V136" s="1283"/>
      <c r="W136" s="1553"/>
      <c r="X136" s="1283"/>
      <c r="Y136" s="1283"/>
      <c r="Z136" s="478"/>
      <c r="AA136" s="1283"/>
      <c r="AB136" s="1283"/>
      <c r="AC136" s="1283"/>
      <c r="AD136" s="1283"/>
      <c r="AE136" s="1283"/>
      <c r="AF136" s="1549"/>
      <c r="AG136" s="556"/>
      <c r="AH136" s="556"/>
      <c r="AI136" s="556"/>
      <c r="AJ136" s="556"/>
      <c r="AK136" s="1558">
        <v>11</v>
      </c>
    </row>
    <row r="137" spans="1:37" s="2212" customFormat="1" ht="11.5" customHeight="1">
      <c r="A137" s="909"/>
      <c r="B137" s="909"/>
      <c r="C137" s="909"/>
      <c r="D137" s="909"/>
      <c r="E137" s="909"/>
      <c r="F137" s="1553"/>
      <c r="G137" s="1553"/>
      <c r="H137" s="285"/>
      <c r="N137" s="1283"/>
      <c r="P137" s="1283"/>
      <c r="Q137" s="1553"/>
      <c r="R137" s="1553"/>
      <c r="S137" s="1283"/>
      <c r="T137" s="1283"/>
      <c r="U137" s="1283"/>
      <c r="V137" s="1283"/>
      <c r="W137" s="1553"/>
      <c r="X137" s="1283"/>
      <c r="Y137" s="1283"/>
      <c r="Z137" s="478"/>
      <c r="AA137" s="1283"/>
      <c r="AB137" s="1283"/>
      <c r="AC137" s="1283"/>
      <c r="AD137" s="1283"/>
      <c r="AE137" s="1283"/>
      <c r="AF137" s="1549"/>
      <c r="AG137" s="556"/>
      <c r="AH137" s="556"/>
      <c r="AI137" s="556"/>
      <c r="AJ137" s="556"/>
      <c r="AK137" s="1558">
        <v>11</v>
      </c>
    </row>
    <row r="138" spans="1:37" s="2212" customFormat="1" ht="11.5" customHeight="1">
      <c r="A138" s="909"/>
      <c r="B138" s="909"/>
      <c r="C138" s="909"/>
      <c r="D138" s="909"/>
      <c r="E138" s="909"/>
      <c r="F138" s="1553"/>
      <c r="G138" s="1553"/>
      <c r="H138" s="285"/>
      <c r="N138" s="1283"/>
      <c r="P138" s="1283"/>
      <c r="Q138" s="1553"/>
      <c r="R138" s="1553"/>
      <c r="S138" s="1283"/>
      <c r="T138" s="1283"/>
      <c r="U138" s="1283"/>
      <c r="V138" s="1283"/>
      <c r="W138" s="1553"/>
      <c r="X138" s="1283"/>
      <c r="Y138" s="1283"/>
      <c r="Z138" s="478"/>
      <c r="AA138" s="1283"/>
      <c r="AB138" s="1283"/>
      <c r="AC138" s="1283"/>
      <c r="AD138" s="1283"/>
      <c r="AE138" s="1283"/>
      <c r="AF138" s="1549"/>
      <c r="AG138" s="556"/>
      <c r="AH138" s="556"/>
      <c r="AI138" s="556"/>
      <c r="AJ138" s="556"/>
      <c r="AK138" s="1558">
        <v>11</v>
      </c>
    </row>
    <row r="139" spans="1:37" s="2212" customFormat="1" ht="11.5" customHeight="1">
      <c r="A139" s="909"/>
      <c r="B139" s="909"/>
      <c r="C139" s="909"/>
      <c r="D139" s="909"/>
      <c r="E139" s="909"/>
      <c r="F139" s="1553"/>
      <c r="G139" s="1553"/>
      <c r="H139" s="285"/>
      <c r="N139" s="1283"/>
      <c r="P139" s="1283"/>
      <c r="Q139" s="1553"/>
      <c r="R139" s="1553"/>
      <c r="S139" s="1283"/>
      <c r="T139" s="1283"/>
      <c r="U139" s="1283"/>
      <c r="V139" s="1283"/>
      <c r="W139" s="1553"/>
      <c r="X139" s="1283"/>
      <c r="Y139" s="1283"/>
      <c r="Z139" s="478"/>
      <c r="AA139" s="1283"/>
      <c r="AB139" s="1283"/>
      <c r="AC139" s="1283"/>
      <c r="AD139" s="1283"/>
      <c r="AE139" s="1283"/>
      <c r="AF139" s="1549"/>
      <c r="AG139" s="556"/>
      <c r="AH139" s="556"/>
      <c r="AI139" s="556"/>
      <c r="AJ139" s="556"/>
      <c r="AK139" s="1558">
        <v>11</v>
      </c>
    </row>
    <row r="140" spans="1:37" s="2212" customFormat="1" ht="11.5" customHeight="1">
      <c r="A140" s="909"/>
      <c r="B140" s="909"/>
      <c r="C140" s="909"/>
      <c r="D140" s="909"/>
      <c r="E140" s="909"/>
      <c r="F140" s="1553"/>
      <c r="G140" s="1553"/>
      <c r="H140" s="285"/>
      <c r="N140" s="1283"/>
      <c r="P140" s="1283"/>
      <c r="Q140" s="1553"/>
      <c r="R140" s="1553"/>
      <c r="S140" s="1283"/>
      <c r="T140" s="1283"/>
      <c r="U140" s="1283"/>
      <c r="V140" s="1283"/>
      <c r="W140" s="1553"/>
      <c r="X140" s="1283"/>
      <c r="Y140" s="1283"/>
      <c r="Z140" s="478"/>
      <c r="AA140" s="1283"/>
      <c r="AB140" s="1283"/>
      <c r="AC140" s="1283"/>
      <c r="AD140" s="1283"/>
      <c r="AE140" s="1283"/>
      <c r="AF140" s="1549"/>
      <c r="AG140" s="556"/>
      <c r="AH140" s="556"/>
      <c r="AI140" s="556"/>
      <c r="AJ140" s="556"/>
      <c r="AK140" s="1558">
        <v>11</v>
      </c>
    </row>
    <row r="141" spans="1:37" s="2212" customFormat="1" ht="11.5" customHeight="1">
      <c r="A141" s="909"/>
      <c r="B141" s="909"/>
      <c r="C141" s="909"/>
      <c r="D141" s="909"/>
      <c r="E141" s="909"/>
      <c r="F141" s="1553"/>
      <c r="G141" s="1553"/>
      <c r="H141" s="285"/>
      <c r="N141" s="1283"/>
      <c r="P141" s="1283"/>
      <c r="Q141" s="1553"/>
      <c r="R141" s="1553"/>
      <c r="S141" s="1283"/>
      <c r="T141" s="1283"/>
      <c r="U141" s="1283"/>
      <c r="V141" s="1283"/>
      <c r="W141" s="1553"/>
      <c r="X141" s="1283"/>
      <c r="Y141" s="1283"/>
      <c r="Z141" s="478"/>
      <c r="AA141" s="1283"/>
      <c r="AB141" s="1283"/>
      <c r="AC141" s="1283"/>
      <c r="AD141" s="1283"/>
      <c r="AE141" s="1283"/>
      <c r="AF141" s="1549"/>
      <c r="AG141" s="556"/>
      <c r="AH141" s="556"/>
      <c r="AI141" s="556"/>
      <c r="AJ141" s="556"/>
      <c r="AK141" s="1558">
        <v>11</v>
      </c>
    </row>
    <row r="142" spans="1:37" s="2212" customFormat="1" ht="11.5" customHeight="1">
      <c r="A142" s="909"/>
      <c r="B142" s="909"/>
      <c r="C142" s="909"/>
      <c r="D142" s="909"/>
      <c r="E142" s="909"/>
      <c r="F142" s="1553"/>
      <c r="G142" s="1553"/>
      <c r="H142" s="285"/>
      <c r="N142" s="1283"/>
      <c r="P142" s="1283"/>
      <c r="Q142" s="1553"/>
      <c r="R142" s="1553"/>
      <c r="S142" s="1283"/>
      <c r="T142" s="1283"/>
      <c r="U142" s="1283"/>
      <c r="V142" s="1283"/>
      <c r="W142" s="1553"/>
      <c r="X142" s="1283"/>
      <c r="Y142" s="1283"/>
      <c r="Z142" s="478"/>
      <c r="AA142" s="1283"/>
      <c r="AB142" s="1283"/>
      <c r="AC142" s="1283"/>
      <c r="AD142" s="1283"/>
      <c r="AE142" s="1283"/>
      <c r="AF142" s="1549"/>
      <c r="AG142" s="556"/>
      <c r="AH142" s="556"/>
      <c r="AI142" s="556"/>
      <c r="AJ142" s="556"/>
      <c r="AK142" s="1558">
        <v>11</v>
      </c>
    </row>
    <row r="143" spans="1:37" s="2212" customFormat="1" ht="11.5" customHeight="1">
      <c r="A143" s="909"/>
      <c r="B143" s="909"/>
      <c r="C143" s="909"/>
      <c r="D143" s="909"/>
      <c r="E143" s="909"/>
      <c r="F143" s="1553"/>
      <c r="G143" s="1553"/>
      <c r="H143" s="285"/>
      <c r="N143" s="1283"/>
      <c r="P143" s="1283"/>
      <c r="Q143" s="1553"/>
      <c r="R143" s="1553"/>
      <c r="S143" s="1283"/>
      <c r="T143" s="1283"/>
      <c r="U143" s="1283"/>
      <c r="V143" s="1283"/>
      <c r="W143" s="1553"/>
      <c r="X143" s="1283"/>
      <c r="Y143" s="1283"/>
      <c r="Z143" s="478"/>
      <c r="AA143" s="1283"/>
      <c r="AB143" s="1283"/>
      <c r="AC143" s="1283"/>
      <c r="AD143" s="1283"/>
      <c r="AE143" s="1283"/>
      <c r="AF143" s="1549"/>
      <c r="AG143" s="556"/>
      <c r="AH143" s="556"/>
      <c r="AI143" s="556"/>
      <c r="AJ143" s="556"/>
      <c r="AK143" s="1558">
        <v>11</v>
      </c>
    </row>
    <row r="144" spans="1:37" s="2212" customFormat="1" ht="11.5" customHeight="1">
      <c r="A144" s="909"/>
      <c r="B144" s="909"/>
      <c r="C144" s="909"/>
      <c r="D144" s="909"/>
      <c r="E144" s="909"/>
      <c r="F144" s="1553"/>
      <c r="G144" s="1553"/>
      <c r="H144" s="285"/>
      <c r="N144" s="1283"/>
      <c r="P144" s="1283"/>
      <c r="Q144" s="1553"/>
      <c r="R144" s="1553"/>
      <c r="S144" s="1283"/>
      <c r="T144" s="1283"/>
      <c r="U144" s="1283"/>
      <c r="V144" s="1283"/>
      <c r="W144" s="1553"/>
      <c r="X144" s="1283"/>
      <c r="Y144" s="1283"/>
      <c r="Z144" s="478"/>
      <c r="AA144" s="1283"/>
      <c r="AB144" s="1283"/>
      <c r="AC144" s="1283"/>
      <c r="AD144" s="1283"/>
      <c r="AE144" s="1283"/>
      <c r="AF144" s="1549"/>
      <c r="AG144" s="556"/>
      <c r="AH144" s="556"/>
      <c r="AI144" s="556"/>
      <c r="AJ144" s="556"/>
      <c r="AK144" s="1558">
        <v>11</v>
      </c>
    </row>
    <row r="145" spans="1:37" s="2212" customFormat="1" ht="11.5" customHeight="1">
      <c r="A145" s="909"/>
      <c r="B145" s="909"/>
      <c r="C145" s="909"/>
      <c r="D145" s="909"/>
      <c r="E145" s="909"/>
      <c r="F145" s="1553"/>
      <c r="G145" s="1553"/>
      <c r="H145" s="285"/>
      <c r="N145" s="1283"/>
      <c r="P145" s="1283"/>
      <c r="Q145" s="1553"/>
      <c r="R145" s="1553"/>
      <c r="S145" s="1283"/>
      <c r="T145" s="1283"/>
      <c r="U145" s="1283"/>
      <c r="V145" s="1283"/>
      <c r="W145" s="1553"/>
      <c r="X145" s="1283"/>
      <c r="Y145" s="1283"/>
      <c r="Z145" s="478"/>
      <c r="AA145" s="1283"/>
      <c r="AB145" s="1283"/>
      <c r="AC145" s="1283"/>
      <c r="AD145" s="1283"/>
      <c r="AE145" s="1283"/>
      <c r="AF145" s="1549"/>
      <c r="AG145" s="556"/>
      <c r="AH145" s="556"/>
      <c r="AI145" s="556"/>
      <c r="AJ145" s="556"/>
      <c r="AK145" s="1558">
        <v>11</v>
      </c>
    </row>
    <row r="146" spans="1:37" s="2212" customFormat="1" ht="11.5" customHeight="1">
      <c r="A146" s="909"/>
      <c r="B146" s="909"/>
      <c r="C146" s="909"/>
      <c r="D146" s="909"/>
      <c r="E146" s="909"/>
      <c r="F146" s="1553"/>
      <c r="G146" s="1553"/>
      <c r="H146" s="285"/>
      <c r="N146" s="1283"/>
      <c r="P146" s="1283"/>
      <c r="Q146" s="1553"/>
      <c r="R146" s="1553"/>
      <c r="S146" s="1283"/>
      <c r="T146" s="1283"/>
      <c r="U146" s="1283"/>
      <c r="V146" s="1283"/>
      <c r="W146" s="1553"/>
      <c r="X146" s="1283"/>
      <c r="Y146" s="1283"/>
      <c r="Z146" s="478"/>
      <c r="AA146" s="1283"/>
      <c r="AB146" s="1283"/>
      <c r="AC146" s="1283"/>
      <c r="AD146" s="1283"/>
      <c r="AE146" s="1283"/>
      <c r="AF146" s="1549"/>
      <c r="AG146" s="556"/>
      <c r="AH146" s="556"/>
      <c r="AI146" s="556"/>
      <c r="AJ146" s="556"/>
      <c r="AK146" s="1558">
        <v>11</v>
      </c>
    </row>
    <row r="147" spans="1:37" s="2212" customFormat="1" ht="11.5" customHeight="1">
      <c r="A147" s="909"/>
      <c r="B147" s="909"/>
      <c r="C147" s="909"/>
      <c r="D147" s="909"/>
      <c r="E147" s="909"/>
      <c r="F147" s="1553"/>
      <c r="G147" s="1553"/>
      <c r="H147" s="285"/>
      <c r="N147" s="1283"/>
      <c r="P147" s="1283"/>
      <c r="Q147" s="1553"/>
      <c r="R147" s="1553"/>
      <c r="S147" s="1283"/>
      <c r="T147" s="1283"/>
      <c r="U147" s="1283"/>
      <c r="V147" s="1283"/>
      <c r="W147" s="1553"/>
      <c r="X147" s="1283"/>
      <c r="Y147" s="1283"/>
      <c r="Z147" s="478"/>
      <c r="AA147" s="1283"/>
      <c r="AB147" s="1283"/>
      <c r="AC147" s="1283"/>
      <c r="AD147" s="1283"/>
      <c r="AE147" s="1283"/>
      <c r="AF147" s="1549"/>
      <c r="AG147" s="556"/>
      <c r="AH147" s="556"/>
      <c r="AI147" s="556"/>
      <c r="AJ147" s="556"/>
      <c r="AK147" s="1558">
        <v>11</v>
      </c>
    </row>
    <row r="148" spans="1:37" s="2212" customFormat="1" ht="11.5" customHeight="1">
      <c r="A148" s="909"/>
      <c r="B148" s="909"/>
      <c r="C148" s="909"/>
      <c r="D148" s="909"/>
      <c r="E148" s="909"/>
      <c r="F148" s="1553"/>
      <c r="G148" s="1553"/>
      <c r="H148" s="285"/>
      <c r="N148" s="1283"/>
      <c r="P148" s="1283"/>
      <c r="Q148" s="1553"/>
      <c r="R148" s="1553"/>
      <c r="S148" s="1283"/>
      <c r="T148" s="1283"/>
      <c r="U148" s="1283"/>
      <c r="V148" s="1283"/>
      <c r="W148" s="1553"/>
      <c r="X148" s="1283"/>
      <c r="Y148" s="1283"/>
      <c r="Z148" s="478"/>
      <c r="AA148" s="1283"/>
      <c r="AB148" s="1283"/>
      <c r="AC148" s="1283"/>
      <c r="AD148" s="1283"/>
      <c r="AE148" s="1283"/>
      <c r="AF148" s="1549"/>
      <c r="AG148" s="556"/>
      <c r="AH148" s="556"/>
      <c r="AI148" s="556"/>
      <c r="AJ148" s="556"/>
      <c r="AK148" s="1558">
        <v>11</v>
      </c>
    </row>
    <row r="149" spans="1:37" s="2212" customFormat="1" ht="11.5" customHeight="1">
      <c r="A149" s="909"/>
      <c r="B149" s="909"/>
      <c r="C149" s="909"/>
      <c r="D149" s="909"/>
      <c r="E149" s="909"/>
      <c r="F149" s="1553"/>
      <c r="G149" s="1553"/>
      <c r="H149" s="285"/>
      <c r="N149" s="1283"/>
      <c r="P149" s="1283"/>
      <c r="Q149" s="1553"/>
      <c r="R149" s="1553"/>
      <c r="S149" s="1283"/>
      <c r="T149" s="1283"/>
      <c r="U149" s="1283"/>
      <c r="V149" s="1283"/>
      <c r="W149" s="1553"/>
      <c r="X149" s="1283"/>
      <c r="Y149" s="1283"/>
      <c r="Z149" s="478"/>
      <c r="AA149" s="1283"/>
      <c r="AB149" s="1283"/>
      <c r="AC149" s="1283"/>
      <c r="AD149" s="1283"/>
      <c r="AE149" s="1283"/>
      <c r="AF149" s="1549"/>
      <c r="AG149" s="556"/>
      <c r="AH149" s="556"/>
      <c r="AI149" s="556"/>
      <c r="AJ149" s="556"/>
      <c r="AK149" s="1558">
        <v>11</v>
      </c>
    </row>
    <row r="150" spans="1:37" s="2212" customFormat="1" ht="11.5" customHeight="1">
      <c r="A150" s="909"/>
      <c r="B150" s="909"/>
      <c r="C150" s="909"/>
      <c r="D150" s="909"/>
      <c r="E150" s="909"/>
      <c r="F150" s="1553"/>
      <c r="G150" s="1553"/>
      <c r="H150" s="285"/>
      <c r="N150" s="1283"/>
      <c r="P150" s="1283"/>
      <c r="Q150" s="1553"/>
      <c r="R150" s="1553"/>
      <c r="S150" s="1283"/>
      <c r="T150" s="1283"/>
      <c r="U150" s="1283"/>
      <c r="V150" s="1283"/>
      <c r="W150" s="1553"/>
      <c r="X150" s="1283"/>
      <c r="Y150" s="1283"/>
      <c r="Z150" s="478"/>
      <c r="AA150" s="1283"/>
      <c r="AB150" s="1283"/>
      <c r="AC150" s="1283"/>
      <c r="AD150" s="1283"/>
      <c r="AE150" s="1283"/>
      <c r="AF150" s="1549"/>
      <c r="AG150" s="556"/>
      <c r="AH150" s="556"/>
      <c r="AI150" s="556"/>
      <c r="AJ150" s="556"/>
      <c r="AK150" s="1558">
        <v>11</v>
      </c>
    </row>
    <row r="151" spans="1:37" s="2212" customFormat="1" ht="11.5" customHeight="1">
      <c r="A151" s="909"/>
      <c r="B151" s="909"/>
      <c r="C151" s="909"/>
      <c r="D151" s="909"/>
      <c r="E151" s="909"/>
      <c r="F151" s="1553"/>
      <c r="G151" s="1553"/>
      <c r="H151" s="285"/>
      <c r="N151" s="1283"/>
      <c r="P151" s="1283"/>
      <c r="Q151" s="1553"/>
      <c r="R151" s="1553"/>
      <c r="S151" s="1283"/>
      <c r="T151" s="1283"/>
      <c r="U151" s="1283"/>
      <c r="V151" s="1283"/>
      <c r="W151" s="1553"/>
      <c r="X151" s="1283"/>
      <c r="Y151" s="1283"/>
      <c r="Z151" s="478"/>
      <c r="AA151" s="1283"/>
      <c r="AB151" s="1283"/>
      <c r="AC151" s="1283"/>
      <c r="AD151" s="1283"/>
      <c r="AE151" s="1283"/>
      <c r="AF151" s="1549"/>
      <c r="AG151" s="556"/>
      <c r="AH151" s="556"/>
      <c r="AI151" s="556"/>
      <c r="AJ151" s="556"/>
      <c r="AK151" s="1558">
        <v>11</v>
      </c>
    </row>
    <row r="152" spans="1:37" s="2212" customFormat="1" ht="11.5" customHeight="1">
      <c r="A152" s="909"/>
      <c r="B152" s="909"/>
      <c r="C152" s="909"/>
      <c r="D152" s="909"/>
      <c r="E152" s="909"/>
      <c r="F152" s="1553"/>
      <c r="G152" s="1553"/>
      <c r="H152" s="285"/>
      <c r="N152" s="1283"/>
      <c r="P152" s="1283"/>
      <c r="Q152" s="1553"/>
      <c r="R152" s="1553"/>
      <c r="S152" s="1283"/>
      <c r="T152" s="1283"/>
      <c r="U152" s="1283"/>
      <c r="V152" s="1283"/>
      <c r="W152" s="1553"/>
      <c r="X152" s="1283"/>
      <c r="Y152" s="1283"/>
      <c r="Z152" s="478"/>
      <c r="AA152" s="1283"/>
      <c r="AB152" s="1283"/>
      <c r="AC152" s="1283"/>
      <c r="AD152" s="1283"/>
      <c r="AE152" s="1283"/>
      <c r="AF152" s="1549"/>
      <c r="AG152" s="556"/>
      <c r="AH152" s="556"/>
      <c r="AI152" s="556"/>
      <c r="AJ152" s="556"/>
      <c r="AK152" s="1558">
        <v>11</v>
      </c>
    </row>
    <row r="153" spans="1:37" s="2212" customFormat="1" ht="11.5" customHeight="1">
      <c r="A153" s="909"/>
      <c r="B153" s="909"/>
      <c r="C153" s="909"/>
      <c r="D153" s="909"/>
      <c r="E153" s="909"/>
      <c r="F153" s="1553"/>
      <c r="G153" s="1553"/>
      <c r="H153" s="285"/>
      <c r="N153" s="1283"/>
      <c r="P153" s="1283"/>
      <c r="Q153" s="1553"/>
      <c r="R153" s="1553"/>
      <c r="S153" s="1283"/>
      <c r="T153" s="1283"/>
      <c r="U153" s="1283"/>
      <c r="V153" s="1283"/>
      <c r="W153" s="1553"/>
      <c r="X153" s="1283"/>
      <c r="Y153" s="1283"/>
      <c r="Z153" s="478"/>
      <c r="AA153" s="1283"/>
      <c r="AB153" s="1283"/>
      <c r="AC153" s="1283"/>
      <c r="AD153" s="1283"/>
      <c r="AE153" s="1283"/>
      <c r="AF153" s="1549"/>
      <c r="AG153" s="556"/>
      <c r="AH153" s="556"/>
      <c r="AI153" s="556"/>
      <c r="AJ153" s="556"/>
      <c r="AK153" s="1558">
        <v>11</v>
      </c>
    </row>
    <row r="154" spans="1:37" s="2212" customFormat="1" ht="11.5" customHeight="1">
      <c r="A154" s="909"/>
      <c r="B154" s="909"/>
      <c r="C154" s="909"/>
      <c r="D154" s="909"/>
      <c r="E154" s="909"/>
      <c r="F154" s="1553"/>
      <c r="G154" s="1553"/>
      <c r="H154" s="285"/>
      <c r="N154" s="1283"/>
      <c r="P154" s="1283"/>
      <c r="Q154" s="1553"/>
      <c r="R154" s="1553"/>
      <c r="S154" s="1283"/>
      <c r="T154" s="1283"/>
      <c r="U154" s="1283"/>
      <c r="V154" s="1283"/>
      <c r="W154" s="1553"/>
      <c r="X154" s="1283"/>
      <c r="Y154" s="1283"/>
      <c r="Z154" s="478"/>
      <c r="AA154" s="1283"/>
      <c r="AB154" s="1283"/>
      <c r="AC154" s="1283"/>
      <c r="AD154" s="1283"/>
      <c r="AE154" s="1283"/>
      <c r="AF154" s="1549"/>
      <c r="AG154" s="556"/>
      <c r="AH154" s="556"/>
      <c r="AI154" s="556"/>
      <c r="AJ154" s="556"/>
      <c r="AK154" s="1558">
        <v>11</v>
      </c>
    </row>
    <row r="155" spans="1:37" s="2212" customFormat="1" ht="11.5" customHeight="1">
      <c r="A155" s="909"/>
      <c r="B155" s="909"/>
      <c r="C155" s="909"/>
      <c r="D155" s="909"/>
      <c r="E155" s="909"/>
      <c r="F155" s="1553"/>
      <c r="G155" s="1553"/>
      <c r="H155" s="285"/>
      <c r="N155" s="1283"/>
      <c r="P155" s="1283"/>
      <c r="Q155" s="1553"/>
      <c r="R155" s="1553"/>
      <c r="S155" s="1283"/>
      <c r="T155" s="1283"/>
      <c r="U155" s="1283"/>
      <c r="V155" s="1283"/>
      <c r="W155" s="1553"/>
      <c r="X155" s="1283"/>
      <c r="Y155" s="1283"/>
      <c r="Z155" s="478"/>
      <c r="AA155" s="1283"/>
      <c r="AB155" s="1283"/>
      <c r="AC155" s="1283"/>
      <c r="AD155" s="1283"/>
      <c r="AE155" s="1283"/>
      <c r="AF155" s="1549"/>
      <c r="AG155" s="556"/>
      <c r="AH155" s="556"/>
      <c r="AI155" s="556"/>
      <c r="AJ155" s="556"/>
      <c r="AK155" s="1558">
        <v>11</v>
      </c>
    </row>
    <row r="156" spans="1:37" s="2212" customFormat="1" ht="11.5" customHeight="1">
      <c r="A156" s="909"/>
      <c r="B156" s="909"/>
      <c r="C156" s="909"/>
      <c r="D156" s="909"/>
      <c r="E156" s="909"/>
      <c r="F156" s="1553"/>
      <c r="G156" s="1553"/>
      <c r="H156" s="285"/>
      <c r="N156" s="1283"/>
      <c r="P156" s="1283"/>
      <c r="Q156" s="1553"/>
      <c r="R156" s="1553"/>
      <c r="S156" s="1283"/>
      <c r="T156" s="1283"/>
      <c r="U156" s="1283"/>
      <c r="V156" s="1283"/>
      <c r="W156" s="1553"/>
      <c r="X156" s="1283"/>
      <c r="Y156" s="1283"/>
      <c r="Z156" s="478"/>
      <c r="AA156" s="1283"/>
      <c r="AB156" s="1283"/>
      <c r="AC156" s="1283"/>
      <c r="AD156" s="1283"/>
      <c r="AE156" s="1283"/>
      <c r="AF156" s="1549"/>
      <c r="AG156" s="556"/>
      <c r="AH156" s="556"/>
      <c r="AI156" s="556"/>
      <c r="AJ156" s="556"/>
      <c r="AK156" s="1558">
        <v>11</v>
      </c>
    </row>
    <row r="157" spans="1:37" s="2212" customFormat="1" ht="11.5" customHeight="1">
      <c r="A157" s="909"/>
      <c r="B157" s="909"/>
      <c r="C157" s="909"/>
      <c r="D157" s="909"/>
      <c r="E157" s="909"/>
      <c r="F157" s="1553"/>
      <c r="G157" s="1553"/>
      <c r="H157" s="285"/>
      <c r="N157" s="1283"/>
      <c r="P157" s="1283"/>
      <c r="Q157" s="1553"/>
      <c r="R157" s="1553"/>
      <c r="S157" s="1283"/>
      <c r="T157" s="1283"/>
      <c r="U157" s="1283"/>
      <c r="V157" s="1283"/>
      <c r="W157" s="1553"/>
      <c r="X157" s="1283"/>
      <c r="Y157" s="1283"/>
      <c r="Z157" s="478"/>
      <c r="AA157" s="1283"/>
      <c r="AB157" s="1283"/>
      <c r="AC157" s="1283"/>
      <c r="AD157" s="1283"/>
      <c r="AE157" s="1283"/>
      <c r="AF157" s="1549"/>
      <c r="AG157" s="556"/>
      <c r="AH157" s="556"/>
      <c r="AI157" s="556"/>
      <c r="AJ157" s="556"/>
      <c r="AK157" s="1558">
        <v>11</v>
      </c>
    </row>
    <row r="158" spans="1:37" s="2212" customFormat="1" ht="11.5" customHeight="1">
      <c r="A158" s="909"/>
      <c r="B158" s="909"/>
      <c r="C158" s="909"/>
      <c r="D158" s="909"/>
      <c r="E158" s="909"/>
      <c r="F158" s="1553"/>
      <c r="G158" s="1553"/>
      <c r="H158" s="285"/>
      <c r="N158" s="1283"/>
      <c r="P158" s="1283"/>
      <c r="Q158" s="1553"/>
      <c r="R158" s="1553"/>
      <c r="S158" s="1283"/>
      <c r="T158" s="1283"/>
      <c r="U158" s="1283"/>
      <c r="V158" s="1283"/>
      <c r="W158" s="1553"/>
      <c r="X158" s="1283"/>
      <c r="Y158" s="1283"/>
      <c r="Z158" s="478"/>
      <c r="AA158" s="1283"/>
      <c r="AB158" s="1283"/>
      <c r="AC158" s="1283"/>
      <c r="AD158" s="1283"/>
      <c r="AE158" s="1283"/>
      <c r="AF158" s="1549"/>
      <c r="AG158" s="556"/>
      <c r="AH158" s="556"/>
      <c r="AI158" s="556"/>
      <c r="AJ158" s="556"/>
      <c r="AK158" s="1558">
        <v>11</v>
      </c>
    </row>
    <row r="159" spans="1:37" s="2212" customFormat="1" ht="11.5" customHeight="1">
      <c r="A159" s="909"/>
      <c r="B159" s="909"/>
      <c r="C159" s="909"/>
      <c r="D159" s="909"/>
      <c r="E159" s="909"/>
      <c r="F159" s="1553"/>
      <c r="G159" s="1553"/>
      <c r="H159" s="285"/>
      <c r="N159" s="1283"/>
      <c r="P159" s="1283"/>
      <c r="Q159" s="1553"/>
      <c r="R159" s="1553"/>
      <c r="S159" s="1283"/>
      <c r="T159" s="1283"/>
      <c r="U159" s="1283"/>
      <c r="V159" s="1283"/>
      <c r="W159" s="1553"/>
      <c r="X159" s="1283"/>
      <c r="Y159" s="1283"/>
      <c r="Z159" s="478"/>
      <c r="AA159" s="1283"/>
      <c r="AB159" s="1283"/>
      <c r="AC159" s="1283"/>
      <c r="AD159" s="1283"/>
      <c r="AE159" s="1283"/>
      <c r="AF159" s="1549"/>
      <c r="AG159" s="556"/>
      <c r="AH159" s="556"/>
      <c r="AI159" s="556"/>
      <c r="AJ159" s="556"/>
      <c r="AK159" s="1558">
        <v>11</v>
      </c>
    </row>
    <row r="160" spans="1:37" s="2212" customFormat="1" ht="11.5" customHeight="1">
      <c r="A160" s="909"/>
      <c r="B160" s="909"/>
      <c r="C160" s="909"/>
      <c r="D160" s="909"/>
      <c r="E160" s="909"/>
      <c r="F160" s="1553"/>
      <c r="G160" s="1553"/>
      <c r="H160" s="285"/>
      <c r="N160" s="1283"/>
      <c r="P160" s="1283"/>
      <c r="Q160" s="1553"/>
      <c r="R160" s="1553"/>
      <c r="S160" s="1283"/>
      <c r="T160" s="1283"/>
      <c r="U160" s="1283"/>
      <c r="V160" s="1283"/>
      <c r="W160" s="1553"/>
      <c r="X160" s="1283"/>
      <c r="Y160" s="1283"/>
      <c r="Z160" s="478"/>
      <c r="AA160" s="1283"/>
      <c r="AB160" s="1283"/>
      <c r="AC160" s="1283"/>
      <c r="AD160" s="1283"/>
      <c r="AE160" s="1283"/>
      <c r="AF160" s="1549"/>
      <c r="AG160" s="556"/>
      <c r="AH160" s="556"/>
      <c r="AI160" s="556"/>
      <c r="AJ160" s="556"/>
      <c r="AK160" s="1558">
        <v>11</v>
      </c>
    </row>
    <row r="161" spans="1:37" s="2212" customFormat="1" ht="11.5" customHeight="1">
      <c r="A161" s="909"/>
      <c r="B161" s="909"/>
      <c r="C161" s="909"/>
      <c r="D161" s="909"/>
      <c r="E161" s="909"/>
      <c r="F161" s="1553"/>
      <c r="G161" s="1553"/>
      <c r="H161" s="285"/>
      <c r="N161" s="1283"/>
      <c r="P161" s="1283"/>
      <c r="Q161" s="1553"/>
      <c r="R161" s="1553"/>
      <c r="S161" s="1283"/>
      <c r="T161" s="1283"/>
      <c r="U161" s="1283"/>
      <c r="V161" s="1283"/>
      <c r="W161" s="1553"/>
      <c r="X161" s="1283"/>
      <c r="Y161" s="1283"/>
      <c r="Z161" s="478"/>
      <c r="AA161" s="1283"/>
      <c r="AB161" s="1283"/>
      <c r="AC161" s="1283"/>
      <c r="AD161" s="1283"/>
      <c r="AE161" s="1283"/>
      <c r="AF161" s="1549"/>
      <c r="AG161" s="556"/>
      <c r="AH161" s="556"/>
      <c r="AI161" s="556"/>
      <c r="AJ161" s="556"/>
      <c r="AK161" s="1558">
        <v>11</v>
      </c>
    </row>
    <row r="162" spans="1:37" s="2212" customFormat="1" ht="11.5" customHeight="1">
      <c r="A162" s="909"/>
      <c r="B162" s="909"/>
      <c r="C162" s="909"/>
      <c r="D162" s="909"/>
      <c r="E162" s="909"/>
      <c r="F162" s="1553"/>
      <c r="G162" s="1553"/>
      <c r="H162" s="285"/>
      <c r="N162" s="1283"/>
      <c r="P162" s="1283"/>
      <c r="Q162" s="1553"/>
      <c r="R162" s="1553"/>
      <c r="S162" s="1283"/>
      <c r="T162" s="1283"/>
      <c r="U162" s="1283"/>
      <c r="V162" s="1283"/>
      <c r="W162" s="1553"/>
      <c r="X162" s="1283"/>
      <c r="Y162" s="1283"/>
      <c r="Z162" s="478"/>
      <c r="AA162" s="1283"/>
      <c r="AB162" s="1283"/>
      <c r="AC162" s="1283"/>
      <c r="AD162" s="1283"/>
      <c r="AE162" s="1283"/>
      <c r="AF162" s="1549"/>
      <c r="AG162" s="556"/>
      <c r="AH162" s="556"/>
      <c r="AI162" s="556"/>
      <c r="AJ162" s="556"/>
      <c r="AK162" s="1558">
        <v>11</v>
      </c>
    </row>
    <row r="163" spans="1:37" s="2212" customFormat="1" ht="11.5" customHeight="1">
      <c r="A163" s="909"/>
      <c r="B163" s="909"/>
      <c r="C163" s="909"/>
      <c r="D163" s="909"/>
      <c r="E163" s="909"/>
      <c r="F163" s="1553"/>
      <c r="G163" s="1553"/>
      <c r="H163" s="285"/>
      <c r="N163" s="1283"/>
      <c r="P163" s="1283"/>
      <c r="Q163" s="1553"/>
      <c r="R163" s="1553"/>
      <c r="S163" s="1283"/>
      <c r="T163" s="1283"/>
      <c r="U163" s="1283"/>
      <c r="V163" s="1283"/>
      <c r="W163" s="1553"/>
      <c r="X163" s="1283"/>
      <c r="Y163" s="1283"/>
      <c r="Z163" s="478"/>
      <c r="AA163" s="1283"/>
      <c r="AB163" s="1283"/>
      <c r="AC163" s="1283"/>
      <c r="AD163" s="1283"/>
      <c r="AE163" s="1283"/>
      <c r="AF163" s="1549"/>
      <c r="AG163" s="556"/>
      <c r="AH163" s="556"/>
      <c r="AI163" s="556"/>
      <c r="AJ163" s="556"/>
      <c r="AK163" s="1558">
        <v>11</v>
      </c>
    </row>
    <row r="164" spans="1:37" s="2212" customFormat="1" ht="11.5" customHeight="1">
      <c r="A164" s="909"/>
      <c r="B164" s="909"/>
      <c r="C164" s="909"/>
      <c r="D164" s="909"/>
      <c r="E164" s="909"/>
      <c r="F164" s="1553"/>
      <c r="G164" s="1553"/>
      <c r="H164" s="285"/>
      <c r="N164" s="1283"/>
      <c r="P164" s="1283"/>
      <c r="Q164" s="1553"/>
      <c r="R164" s="1553"/>
      <c r="S164" s="1283"/>
      <c r="T164" s="1283"/>
      <c r="U164" s="1283"/>
      <c r="V164" s="1283"/>
      <c r="W164" s="1553"/>
      <c r="X164" s="1283"/>
      <c r="Y164" s="1283"/>
      <c r="Z164" s="478"/>
      <c r="AA164" s="1283"/>
      <c r="AB164" s="1283"/>
      <c r="AC164" s="1283"/>
      <c r="AD164" s="1283"/>
      <c r="AE164" s="1283"/>
      <c r="AF164" s="1549"/>
      <c r="AG164" s="556"/>
      <c r="AH164" s="556"/>
      <c r="AI164" s="556"/>
      <c r="AJ164" s="556"/>
      <c r="AK164" s="1558">
        <v>11</v>
      </c>
    </row>
    <row r="165" spans="1:37" s="2212" customFormat="1" ht="11.5" customHeight="1">
      <c r="A165" s="909"/>
      <c r="B165" s="909"/>
      <c r="C165" s="909"/>
      <c r="D165" s="909"/>
      <c r="E165" s="909"/>
      <c r="F165" s="1553"/>
      <c r="G165" s="1553"/>
      <c r="H165" s="285"/>
      <c r="N165" s="1283"/>
      <c r="P165" s="1283"/>
      <c r="Q165" s="1553"/>
      <c r="R165" s="1553"/>
      <c r="S165" s="1283"/>
      <c r="T165" s="1283"/>
      <c r="U165" s="1283"/>
      <c r="V165" s="1283"/>
      <c r="W165" s="1553"/>
      <c r="X165" s="1283"/>
      <c r="Y165" s="1283"/>
      <c r="Z165" s="478"/>
      <c r="AA165" s="1283"/>
      <c r="AB165" s="1283"/>
      <c r="AC165" s="1283"/>
      <c r="AD165" s="1283"/>
      <c r="AE165" s="1283"/>
      <c r="AF165" s="1549"/>
      <c r="AG165" s="556"/>
      <c r="AH165" s="556"/>
      <c r="AI165" s="556"/>
      <c r="AJ165" s="556"/>
      <c r="AK165" s="1558">
        <v>11</v>
      </c>
    </row>
    <row r="166" spans="1:37" s="2212" customFormat="1" ht="11.5" customHeight="1">
      <c r="A166" s="909"/>
      <c r="B166" s="909"/>
      <c r="C166" s="909"/>
      <c r="D166" s="909"/>
      <c r="E166" s="909"/>
      <c r="F166" s="1553"/>
      <c r="G166" s="1553"/>
      <c r="H166" s="285"/>
      <c r="N166" s="1283"/>
      <c r="P166" s="1283"/>
      <c r="Q166" s="1553"/>
      <c r="R166" s="1553"/>
      <c r="S166" s="1283"/>
      <c r="T166" s="1283"/>
      <c r="U166" s="1283"/>
      <c r="V166" s="1283"/>
      <c r="W166" s="1553"/>
      <c r="X166" s="1283"/>
      <c r="Y166" s="1283"/>
      <c r="Z166" s="478"/>
      <c r="AA166" s="1283"/>
      <c r="AB166" s="1283"/>
      <c r="AC166" s="1283"/>
      <c r="AD166" s="1283"/>
      <c r="AE166" s="1283"/>
      <c r="AF166" s="1549"/>
      <c r="AG166" s="556"/>
      <c r="AH166" s="556"/>
      <c r="AI166" s="556"/>
      <c r="AJ166" s="556"/>
      <c r="AK166" s="1558">
        <v>11</v>
      </c>
    </row>
    <row r="167" spans="1:37" s="2212" customFormat="1" ht="11.5" customHeight="1">
      <c r="A167" s="909"/>
      <c r="B167" s="909"/>
      <c r="C167" s="909"/>
      <c r="D167" s="909"/>
      <c r="E167" s="909"/>
      <c r="F167" s="1553"/>
      <c r="G167" s="1553"/>
      <c r="H167" s="285"/>
      <c r="N167" s="1283"/>
      <c r="P167" s="1283"/>
      <c r="Q167" s="1553"/>
      <c r="R167" s="1553"/>
      <c r="S167" s="1283"/>
      <c r="T167" s="1283"/>
      <c r="U167" s="1283"/>
      <c r="V167" s="1283"/>
      <c r="W167" s="1553"/>
      <c r="X167" s="1283"/>
      <c r="Y167" s="1283"/>
      <c r="Z167" s="478"/>
      <c r="AA167" s="1283"/>
      <c r="AB167" s="1283"/>
      <c r="AC167" s="1283"/>
      <c r="AD167" s="1283"/>
      <c r="AE167" s="1283"/>
      <c r="AF167" s="1549"/>
      <c r="AG167" s="556"/>
      <c r="AH167" s="556"/>
      <c r="AI167" s="556"/>
      <c r="AJ167" s="556"/>
      <c r="AK167" s="1558">
        <v>11</v>
      </c>
    </row>
    <row r="168" spans="1:37" s="2212" customFormat="1" ht="11.5" customHeight="1">
      <c r="A168" s="909"/>
      <c r="B168" s="909"/>
      <c r="C168" s="909"/>
      <c r="D168" s="909"/>
      <c r="E168" s="909"/>
      <c r="F168" s="1553"/>
      <c r="G168" s="1553"/>
      <c r="H168" s="285"/>
      <c r="N168" s="1283"/>
      <c r="P168" s="1283"/>
      <c r="Q168" s="1553"/>
      <c r="R168" s="1553"/>
      <c r="S168" s="1283"/>
      <c r="T168" s="1283"/>
      <c r="U168" s="1283"/>
      <c r="V168" s="1283"/>
      <c r="W168" s="1553"/>
      <c r="X168" s="1283"/>
      <c r="Y168" s="1283"/>
      <c r="Z168" s="478"/>
      <c r="AA168" s="1283"/>
      <c r="AB168" s="1283"/>
      <c r="AC168" s="1283"/>
      <c r="AD168" s="1283"/>
      <c r="AE168" s="1283"/>
      <c r="AF168" s="1549"/>
      <c r="AG168" s="556"/>
      <c r="AH168" s="556"/>
      <c r="AI168" s="556"/>
      <c r="AJ168" s="556"/>
      <c r="AK168" s="1558">
        <v>11</v>
      </c>
    </row>
    <row r="169" spans="1:37" s="2212" customFormat="1" ht="11.5" customHeight="1">
      <c r="A169" s="909"/>
      <c r="B169" s="909"/>
      <c r="C169" s="909"/>
      <c r="D169" s="909"/>
      <c r="E169" s="909"/>
      <c r="F169" s="1553"/>
      <c r="G169" s="1553"/>
      <c r="H169" s="285"/>
      <c r="N169" s="1283"/>
      <c r="P169" s="1283"/>
      <c r="Q169" s="1553"/>
      <c r="R169" s="1553"/>
      <c r="S169" s="1283"/>
      <c r="T169" s="1283"/>
      <c r="U169" s="1283"/>
      <c r="V169" s="1283"/>
      <c r="W169" s="1553"/>
      <c r="X169" s="1283"/>
      <c r="Y169" s="1283"/>
      <c r="Z169" s="478"/>
      <c r="AA169" s="1283"/>
      <c r="AB169" s="1283"/>
      <c r="AC169" s="1283"/>
      <c r="AD169" s="1283"/>
      <c r="AE169" s="1283"/>
      <c r="AF169" s="1549"/>
      <c r="AG169" s="556"/>
      <c r="AH169" s="556"/>
      <c r="AI169" s="556"/>
      <c r="AJ169" s="556"/>
      <c r="AK169" s="1558">
        <v>11</v>
      </c>
    </row>
    <row r="170" spans="1:37" s="2212" customFormat="1" ht="11.5" customHeight="1">
      <c r="A170" s="909"/>
      <c r="B170" s="909"/>
      <c r="C170" s="909"/>
      <c r="D170" s="909"/>
      <c r="E170" s="909"/>
      <c r="F170" s="1553"/>
      <c r="G170" s="1553"/>
      <c r="H170" s="285"/>
      <c r="N170" s="1283"/>
      <c r="P170" s="1283"/>
      <c r="Q170" s="1553"/>
      <c r="R170" s="1553"/>
      <c r="S170" s="1283"/>
      <c r="T170" s="1283"/>
      <c r="U170" s="1283"/>
      <c r="V170" s="1283"/>
      <c r="W170" s="1553"/>
      <c r="X170" s="1283"/>
      <c r="Y170" s="1283"/>
      <c r="Z170" s="478"/>
      <c r="AA170" s="1283"/>
      <c r="AB170" s="1283"/>
      <c r="AC170" s="1283"/>
      <c r="AD170" s="1283"/>
      <c r="AE170" s="1283"/>
      <c r="AF170" s="1549"/>
      <c r="AG170" s="556"/>
      <c r="AH170" s="556"/>
      <c r="AI170" s="556"/>
      <c r="AJ170" s="556"/>
      <c r="AK170" s="1558">
        <v>11</v>
      </c>
    </row>
    <row r="171" spans="1:37" s="2212" customFormat="1" ht="11.5" customHeight="1">
      <c r="A171" s="909"/>
      <c r="B171" s="909"/>
      <c r="C171" s="909"/>
      <c r="D171" s="909"/>
      <c r="E171" s="909"/>
      <c r="F171" s="1553"/>
      <c r="G171" s="1553"/>
      <c r="H171" s="285"/>
      <c r="N171" s="1283"/>
      <c r="P171" s="1283"/>
      <c r="Q171" s="1553"/>
      <c r="R171" s="1553"/>
      <c r="S171" s="1283"/>
      <c r="T171" s="1283"/>
      <c r="U171" s="1283"/>
      <c r="V171" s="1283"/>
      <c r="W171" s="1553"/>
      <c r="X171" s="1283"/>
      <c r="Y171" s="1283"/>
      <c r="Z171" s="478"/>
      <c r="AA171" s="1283"/>
      <c r="AB171" s="1283"/>
      <c r="AC171" s="1283"/>
      <c r="AD171" s="1283"/>
      <c r="AE171" s="1283"/>
      <c r="AF171" s="1549"/>
      <c r="AG171" s="556"/>
      <c r="AH171" s="556"/>
      <c r="AI171" s="556"/>
      <c r="AJ171" s="556"/>
      <c r="AK171" s="1558">
        <v>11</v>
      </c>
    </row>
    <row r="172" spans="1:37" s="2212" customFormat="1" ht="11.5" customHeight="1">
      <c r="A172" s="909"/>
      <c r="B172" s="909"/>
      <c r="C172" s="909"/>
      <c r="D172" s="909"/>
      <c r="E172" s="909"/>
      <c r="F172" s="1553"/>
      <c r="G172" s="1553"/>
      <c r="H172" s="285"/>
      <c r="N172" s="1283"/>
      <c r="P172" s="1283"/>
      <c r="Q172" s="1553"/>
      <c r="R172" s="1553"/>
      <c r="S172" s="1283"/>
      <c r="T172" s="1283"/>
      <c r="U172" s="1283"/>
      <c r="V172" s="1283"/>
      <c r="W172" s="1553"/>
      <c r="X172" s="1283"/>
      <c r="Y172" s="1283"/>
      <c r="Z172" s="478"/>
      <c r="AA172" s="1283"/>
      <c r="AB172" s="1283"/>
      <c r="AC172" s="1283"/>
      <c r="AD172" s="1283"/>
      <c r="AE172" s="1283"/>
      <c r="AF172" s="1549"/>
      <c r="AG172" s="556"/>
      <c r="AH172" s="556"/>
      <c r="AI172" s="556"/>
      <c r="AJ172" s="556"/>
      <c r="AK172" s="1558">
        <v>11</v>
      </c>
    </row>
    <row r="173" spans="1:37" s="2212" customFormat="1" ht="11.5" customHeight="1">
      <c r="A173" s="909"/>
      <c r="B173" s="909"/>
      <c r="C173" s="909"/>
      <c r="D173" s="909"/>
      <c r="E173" s="909"/>
      <c r="F173" s="1553"/>
      <c r="G173" s="1553"/>
      <c r="H173" s="285"/>
      <c r="N173" s="1283"/>
      <c r="P173" s="1283"/>
      <c r="Q173" s="1553"/>
      <c r="R173" s="1553"/>
      <c r="S173" s="1283"/>
      <c r="T173" s="1283"/>
      <c r="U173" s="1283"/>
      <c r="V173" s="1283"/>
      <c r="W173" s="1553"/>
      <c r="X173" s="1283"/>
      <c r="Y173" s="1283"/>
      <c r="Z173" s="478"/>
      <c r="AA173" s="1283"/>
      <c r="AB173" s="1283"/>
      <c r="AC173" s="1283"/>
      <c r="AD173" s="1283"/>
      <c r="AE173" s="1283"/>
      <c r="AF173" s="1549"/>
      <c r="AG173" s="556"/>
      <c r="AH173" s="556"/>
      <c r="AI173" s="556"/>
      <c r="AJ173" s="556"/>
      <c r="AK173" s="1558">
        <v>11</v>
      </c>
    </row>
    <row r="174" spans="1:37" s="2212" customFormat="1" ht="11.5" customHeight="1">
      <c r="A174" s="909"/>
      <c r="B174" s="909"/>
      <c r="C174" s="909"/>
      <c r="D174" s="909"/>
      <c r="E174" s="909"/>
      <c r="F174" s="1553"/>
      <c r="G174" s="1553"/>
      <c r="H174" s="285"/>
      <c r="N174" s="1283"/>
      <c r="P174" s="1283"/>
      <c r="Q174" s="1553"/>
      <c r="R174" s="1553"/>
      <c r="S174" s="1283"/>
      <c r="T174" s="1283"/>
      <c r="U174" s="1283"/>
      <c r="V174" s="1283"/>
      <c r="W174" s="1553"/>
      <c r="X174" s="1283"/>
      <c r="Y174" s="1283"/>
      <c r="Z174" s="478"/>
      <c r="AA174" s="1283"/>
      <c r="AB174" s="1283"/>
      <c r="AC174" s="1283"/>
      <c r="AD174" s="1283"/>
      <c r="AE174" s="1283"/>
      <c r="AF174" s="1549"/>
      <c r="AG174" s="556"/>
      <c r="AH174" s="556"/>
      <c r="AI174" s="556"/>
      <c r="AJ174" s="556"/>
      <c r="AK174" s="1558">
        <v>11</v>
      </c>
    </row>
    <row r="175" spans="1:37" s="2212" customFormat="1" ht="11.5" customHeight="1">
      <c r="A175" s="909"/>
      <c r="B175" s="909"/>
      <c r="C175" s="909"/>
      <c r="D175" s="909"/>
      <c r="E175" s="909"/>
      <c r="F175" s="1553"/>
      <c r="G175" s="1553"/>
      <c r="H175" s="285"/>
      <c r="N175" s="1283"/>
      <c r="P175" s="1283"/>
      <c r="Q175" s="1553"/>
      <c r="R175" s="1553"/>
      <c r="S175" s="1283"/>
      <c r="T175" s="1283"/>
      <c r="U175" s="1283"/>
      <c r="V175" s="1283"/>
      <c r="W175" s="1553"/>
      <c r="X175" s="1283"/>
      <c r="Y175" s="1283"/>
      <c r="Z175" s="478"/>
      <c r="AA175" s="1283"/>
      <c r="AB175" s="1283"/>
      <c r="AC175" s="1283"/>
      <c r="AD175" s="1283"/>
      <c r="AE175" s="1283"/>
      <c r="AF175" s="1549"/>
      <c r="AG175" s="556"/>
      <c r="AH175" s="556"/>
      <c r="AI175" s="556"/>
      <c r="AJ175" s="556"/>
      <c r="AK175" s="1558">
        <v>11</v>
      </c>
    </row>
    <row r="176" spans="1:37" s="2212" customFormat="1" ht="11.5" customHeight="1">
      <c r="A176" s="909"/>
      <c r="B176" s="909"/>
      <c r="C176" s="909"/>
      <c r="D176" s="909"/>
      <c r="E176" s="909"/>
      <c r="F176" s="1553"/>
      <c r="G176" s="1553"/>
      <c r="H176" s="285"/>
      <c r="N176" s="1283"/>
      <c r="P176" s="1283"/>
      <c r="Q176" s="1553"/>
      <c r="R176" s="1553"/>
      <c r="S176" s="1283"/>
      <c r="T176" s="1283"/>
      <c r="U176" s="1283"/>
      <c r="V176" s="1283"/>
      <c r="W176" s="1553"/>
      <c r="X176" s="1283"/>
      <c r="Y176" s="1283"/>
      <c r="Z176" s="478"/>
      <c r="AA176" s="1283"/>
      <c r="AB176" s="1283"/>
      <c r="AC176" s="1283"/>
      <c r="AD176" s="1283"/>
      <c r="AE176" s="1283"/>
      <c r="AF176" s="1549"/>
      <c r="AG176" s="556"/>
      <c r="AH176" s="556"/>
      <c r="AI176" s="556"/>
      <c r="AJ176" s="556"/>
      <c r="AK176" s="1558">
        <v>11</v>
      </c>
    </row>
    <row r="177" spans="1:37" s="2212" customFormat="1" ht="11.5" customHeight="1">
      <c r="A177" s="909"/>
      <c r="B177" s="909"/>
      <c r="C177" s="909"/>
      <c r="D177" s="909"/>
      <c r="E177" s="909"/>
      <c r="F177" s="1553"/>
      <c r="G177" s="1553"/>
      <c r="H177" s="285"/>
      <c r="N177" s="1283"/>
      <c r="P177" s="1283"/>
      <c r="Q177" s="1553"/>
      <c r="R177" s="1553"/>
      <c r="S177" s="1283"/>
      <c r="T177" s="1283"/>
      <c r="U177" s="1283"/>
      <c r="V177" s="1283"/>
      <c r="W177" s="1553"/>
      <c r="X177" s="1283"/>
      <c r="Y177" s="1283"/>
      <c r="Z177" s="478"/>
      <c r="AA177" s="1283"/>
      <c r="AB177" s="1283"/>
      <c r="AC177" s="1283"/>
      <c r="AD177" s="1283"/>
      <c r="AE177" s="1283"/>
      <c r="AF177" s="1549"/>
      <c r="AG177" s="556"/>
      <c r="AH177" s="556"/>
      <c r="AI177" s="556"/>
      <c r="AJ177" s="556"/>
      <c r="AK177" s="1558">
        <v>11</v>
      </c>
    </row>
    <row r="178" spans="1:37" s="2212" customFormat="1" ht="11.5" customHeight="1">
      <c r="A178" s="909"/>
      <c r="B178" s="909"/>
      <c r="C178" s="909"/>
      <c r="D178" s="909"/>
      <c r="E178" s="909"/>
      <c r="F178" s="1553"/>
      <c r="G178" s="1553"/>
      <c r="H178" s="285"/>
      <c r="N178" s="1283"/>
      <c r="P178" s="1283"/>
      <c r="Q178" s="1553"/>
      <c r="R178" s="1553"/>
      <c r="S178" s="1283"/>
      <c r="T178" s="1283"/>
      <c r="U178" s="1283"/>
      <c r="V178" s="1283"/>
      <c r="W178" s="1553"/>
      <c r="X178" s="1283"/>
      <c r="Y178" s="1283"/>
      <c r="Z178" s="478"/>
      <c r="AA178" s="1283"/>
      <c r="AB178" s="1283"/>
      <c r="AC178" s="1283"/>
      <c r="AD178" s="1283"/>
      <c r="AE178" s="1283"/>
      <c r="AF178" s="1549"/>
      <c r="AG178" s="556"/>
      <c r="AH178" s="556"/>
      <c r="AI178" s="556"/>
      <c r="AJ178" s="556"/>
      <c r="AK178" s="1558">
        <v>11</v>
      </c>
    </row>
    <row r="179" spans="1:37" s="2212" customFormat="1" ht="11.5" customHeight="1">
      <c r="A179" s="909"/>
      <c r="B179" s="909"/>
      <c r="C179" s="909"/>
      <c r="D179" s="909"/>
      <c r="E179" s="909"/>
      <c r="F179" s="1553"/>
      <c r="G179" s="1553"/>
      <c r="H179" s="285"/>
      <c r="N179" s="1283"/>
      <c r="P179" s="1283"/>
      <c r="Q179" s="1553"/>
      <c r="R179" s="1553"/>
      <c r="S179" s="1283"/>
      <c r="T179" s="1283"/>
      <c r="U179" s="1283"/>
      <c r="V179" s="1283"/>
      <c r="W179" s="1553"/>
      <c r="X179" s="1283"/>
      <c r="Y179" s="1283"/>
      <c r="Z179" s="478"/>
      <c r="AA179" s="1283"/>
      <c r="AB179" s="1283"/>
      <c r="AC179" s="1283"/>
      <c r="AD179" s="1283"/>
      <c r="AE179" s="1283"/>
      <c r="AF179" s="1549"/>
      <c r="AG179" s="556"/>
      <c r="AH179" s="556"/>
      <c r="AI179" s="556"/>
      <c r="AJ179" s="556"/>
      <c r="AK179" s="1558">
        <v>11</v>
      </c>
    </row>
    <row r="180" spans="1:37" s="2212" customFormat="1" ht="11.5" customHeight="1">
      <c r="A180" s="909"/>
      <c r="B180" s="909"/>
      <c r="C180" s="909"/>
      <c r="D180" s="909"/>
      <c r="E180" s="909"/>
      <c r="F180" s="1553"/>
      <c r="G180" s="1553"/>
      <c r="H180" s="285"/>
      <c r="N180" s="1283"/>
      <c r="P180" s="1283"/>
      <c r="Q180" s="1553"/>
      <c r="R180" s="1553"/>
      <c r="S180" s="1283"/>
      <c r="T180" s="1283"/>
      <c r="U180" s="1283"/>
      <c r="V180" s="1283"/>
      <c r="W180" s="1553"/>
      <c r="X180" s="1283"/>
      <c r="Y180" s="1283"/>
      <c r="Z180" s="478"/>
      <c r="AA180" s="1283"/>
      <c r="AB180" s="1283"/>
      <c r="AC180" s="1283"/>
      <c r="AD180" s="1283"/>
      <c r="AE180" s="1283"/>
      <c r="AF180" s="1549"/>
      <c r="AG180" s="556"/>
      <c r="AH180" s="556"/>
      <c r="AI180" s="556"/>
      <c r="AJ180" s="556"/>
      <c r="AK180" s="1558">
        <v>11</v>
      </c>
    </row>
    <row r="181" spans="1:37" s="2212" customFormat="1" ht="11.5" customHeight="1">
      <c r="A181" s="909"/>
      <c r="B181" s="909"/>
      <c r="C181" s="909"/>
      <c r="D181" s="909"/>
      <c r="E181" s="909"/>
      <c r="F181" s="1553"/>
      <c r="G181" s="1553"/>
      <c r="H181" s="285"/>
      <c r="N181" s="1283"/>
      <c r="P181" s="1283"/>
      <c r="Q181" s="1553"/>
      <c r="R181" s="1553"/>
      <c r="S181" s="1283"/>
      <c r="T181" s="1283"/>
      <c r="U181" s="1283"/>
      <c r="V181" s="1283"/>
      <c r="W181" s="1553"/>
      <c r="X181" s="1283"/>
      <c r="Y181" s="1283"/>
      <c r="Z181" s="478"/>
      <c r="AA181" s="1283"/>
      <c r="AB181" s="1283"/>
      <c r="AC181" s="1283"/>
      <c r="AD181" s="1283"/>
      <c r="AE181" s="1283"/>
      <c r="AF181" s="1549"/>
      <c r="AG181" s="556"/>
      <c r="AH181" s="556"/>
      <c r="AI181" s="556"/>
      <c r="AJ181" s="556"/>
      <c r="AK181" s="1558">
        <v>11</v>
      </c>
    </row>
    <row r="182" spans="1:37" s="2212" customFormat="1" ht="11.5" customHeight="1">
      <c r="A182" s="909"/>
      <c r="B182" s="909"/>
      <c r="C182" s="909"/>
      <c r="D182" s="909"/>
      <c r="E182" s="909"/>
      <c r="F182" s="1553"/>
      <c r="G182" s="1553"/>
      <c r="H182" s="285"/>
      <c r="N182" s="1283"/>
      <c r="P182" s="1283"/>
      <c r="Q182" s="1553"/>
      <c r="R182" s="1553"/>
      <c r="S182" s="1283"/>
      <c r="T182" s="1283"/>
      <c r="U182" s="1283"/>
      <c r="V182" s="1283"/>
      <c r="W182" s="1553"/>
      <c r="X182" s="1283"/>
      <c r="Y182" s="1283"/>
      <c r="Z182" s="478"/>
      <c r="AA182" s="1283"/>
      <c r="AB182" s="1283"/>
      <c r="AC182" s="1283"/>
      <c r="AD182" s="1283"/>
      <c r="AE182" s="1283"/>
      <c r="AF182" s="1549"/>
      <c r="AG182" s="556"/>
      <c r="AH182" s="556"/>
      <c r="AI182" s="556"/>
      <c r="AJ182" s="556"/>
      <c r="AK182" s="1558">
        <v>11</v>
      </c>
    </row>
    <row r="183" spans="1:37" s="2212" customFormat="1" ht="11.5" customHeight="1">
      <c r="A183" s="909"/>
      <c r="B183" s="909"/>
      <c r="C183" s="909"/>
      <c r="D183" s="909"/>
      <c r="E183" s="909"/>
      <c r="F183" s="1553"/>
      <c r="G183" s="1553"/>
      <c r="H183" s="285"/>
      <c r="N183" s="1283"/>
      <c r="P183" s="1283"/>
      <c r="Q183" s="1553"/>
      <c r="R183" s="1553"/>
      <c r="S183" s="1283"/>
      <c r="T183" s="1283"/>
      <c r="U183" s="1283"/>
      <c r="V183" s="1283"/>
      <c r="W183" s="1553"/>
      <c r="X183" s="1283"/>
      <c r="Y183" s="1283"/>
      <c r="Z183" s="478"/>
      <c r="AA183" s="1283"/>
      <c r="AB183" s="1283"/>
      <c r="AC183" s="1283"/>
      <c r="AD183" s="1283"/>
      <c r="AE183" s="1283"/>
      <c r="AF183" s="1549"/>
      <c r="AG183" s="556"/>
      <c r="AH183" s="556"/>
      <c r="AI183" s="556"/>
      <c r="AJ183" s="556"/>
      <c r="AK183" s="1558">
        <v>11</v>
      </c>
    </row>
    <row r="184" spans="1:37" s="2212" customFormat="1" ht="11.5" customHeight="1">
      <c r="A184" s="909"/>
      <c r="B184" s="909"/>
      <c r="C184" s="909"/>
      <c r="D184" s="909"/>
      <c r="E184" s="909"/>
      <c r="F184" s="1553"/>
      <c r="G184" s="1553"/>
      <c r="H184" s="285"/>
      <c r="N184" s="1283"/>
      <c r="P184" s="1283"/>
      <c r="Q184" s="1553"/>
      <c r="R184" s="1553"/>
      <c r="S184" s="1283"/>
      <c r="T184" s="1283"/>
      <c r="U184" s="1283"/>
      <c r="V184" s="1283"/>
      <c r="W184" s="1553"/>
      <c r="X184" s="1283"/>
      <c r="Y184" s="1283"/>
      <c r="Z184" s="478"/>
      <c r="AA184" s="1283"/>
      <c r="AB184" s="1283"/>
      <c r="AC184" s="1283"/>
      <c r="AD184" s="1283"/>
      <c r="AE184" s="1283"/>
      <c r="AF184" s="1549"/>
      <c r="AG184" s="556"/>
      <c r="AH184" s="556"/>
      <c r="AI184" s="556"/>
      <c r="AJ184" s="556"/>
      <c r="AK184" s="1558">
        <v>11</v>
      </c>
    </row>
    <row r="185" spans="1:37" s="2212" customFormat="1" ht="11.5" customHeight="1">
      <c r="A185" s="909"/>
      <c r="B185" s="909"/>
      <c r="C185" s="909"/>
      <c r="D185" s="909"/>
      <c r="E185" s="909"/>
      <c r="F185" s="1553"/>
      <c r="G185" s="1553"/>
      <c r="H185" s="285"/>
      <c r="N185" s="1283"/>
      <c r="P185" s="1283"/>
      <c r="Q185" s="1553"/>
      <c r="R185" s="1553"/>
      <c r="S185" s="1283"/>
      <c r="T185" s="1283"/>
      <c r="U185" s="1283"/>
      <c r="V185" s="1283"/>
      <c r="W185" s="1553"/>
      <c r="X185" s="1283"/>
      <c r="Y185" s="1283"/>
      <c r="Z185" s="478"/>
      <c r="AA185" s="1283"/>
      <c r="AB185" s="1283"/>
      <c r="AC185" s="1283"/>
      <c r="AD185" s="1283"/>
      <c r="AE185" s="1283"/>
      <c r="AF185" s="1549"/>
      <c r="AG185" s="556"/>
      <c r="AH185" s="556"/>
      <c r="AI185" s="556"/>
      <c r="AJ185" s="556"/>
      <c r="AK185" s="1558">
        <v>11</v>
      </c>
    </row>
    <row r="186" spans="1:37" s="2212" customFormat="1" ht="11.5" customHeight="1">
      <c r="A186" s="909"/>
      <c r="B186" s="909"/>
      <c r="C186" s="909"/>
      <c r="D186" s="909"/>
      <c r="E186" s="909"/>
      <c r="F186" s="1553"/>
      <c r="G186" s="1553"/>
      <c r="H186" s="285"/>
      <c r="N186" s="1283"/>
      <c r="P186" s="1283"/>
      <c r="Q186" s="1553"/>
      <c r="R186" s="1553"/>
      <c r="S186" s="1283"/>
      <c r="T186" s="1283"/>
      <c r="U186" s="1283"/>
      <c r="V186" s="1283"/>
      <c r="W186" s="1553"/>
      <c r="X186" s="1283"/>
      <c r="Y186" s="1283"/>
      <c r="Z186" s="478"/>
      <c r="AA186" s="1283"/>
      <c r="AB186" s="1283"/>
      <c r="AC186" s="1283"/>
      <c r="AD186" s="1283"/>
      <c r="AE186" s="1283"/>
      <c r="AF186" s="1549"/>
      <c r="AG186" s="556"/>
      <c r="AH186" s="556"/>
      <c r="AI186" s="556"/>
      <c r="AJ186" s="556"/>
      <c r="AK186" s="1558">
        <v>11</v>
      </c>
    </row>
    <row r="187" spans="1:37" s="2212" customFormat="1" ht="11.5" customHeight="1">
      <c r="A187" s="909"/>
      <c r="B187" s="909"/>
      <c r="C187" s="909"/>
      <c r="D187" s="909"/>
      <c r="E187" s="909"/>
      <c r="F187" s="1553"/>
      <c r="G187" s="1553"/>
      <c r="H187" s="285"/>
      <c r="N187" s="1283"/>
      <c r="P187" s="1283"/>
      <c r="Q187" s="1553"/>
      <c r="R187" s="1553"/>
      <c r="S187" s="1283"/>
      <c r="T187" s="1283"/>
      <c r="U187" s="1283"/>
      <c r="V187" s="1283"/>
      <c r="W187" s="1553"/>
      <c r="X187" s="1283"/>
      <c r="Y187" s="1283"/>
      <c r="Z187" s="478"/>
      <c r="AA187" s="1283"/>
      <c r="AB187" s="1283"/>
      <c r="AC187" s="1283"/>
      <c r="AD187" s="1283"/>
      <c r="AE187" s="1283"/>
      <c r="AF187" s="1549"/>
      <c r="AG187" s="556"/>
      <c r="AH187" s="556"/>
      <c r="AI187" s="556"/>
      <c r="AJ187" s="556"/>
      <c r="AK187" s="1558">
        <v>11</v>
      </c>
    </row>
    <row r="188" spans="1:37" s="2212" customFormat="1" ht="11.5" customHeight="1">
      <c r="A188" s="909"/>
      <c r="B188" s="909"/>
      <c r="C188" s="909"/>
      <c r="D188" s="909"/>
      <c r="E188" s="909"/>
      <c r="F188" s="1553"/>
      <c r="G188" s="1553"/>
      <c r="H188" s="285"/>
      <c r="N188" s="1283"/>
      <c r="P188" s="1283"/>
      <c r="Q188" s="1553"/>
      <c r="R188" s="1553"/>
      <c r="S188" s="1283"/>
      <c r="T188" s="1283"/>
      <c r="U188" s="1283"/>
      <c r="V188" s="1283"/>
      <c r="W188" s="1553"/>
      <c r="X188" s="1283"/>
      <c r="Y188" s="1283"/>
      <c r="Z188" s="478"/>
      <c r="AA188" s="1283"/>
      <c r="AB188" s="1283"/>
      <c r="AC188" s="1283"/>
      <c r="AD188" s="1283"/>
      <c r="AE188" s="1283"/>
      <c r="AF188" s="1549"/>
      <c r="AG188" s="556"/>
      <c r="AH188" s="556"/>
      <c r="AI188" s="556"/>
      <c r="AJ188" s="556"/>
      <c r="AK188" s="1558">
        <v>11</v>
      </c>
    </row>
    <row r="189" spans="1:37" s="2212" customFormat="1" ht="11.5" customHeight="1">
      <c r="A189" s="909"/>
      <c r="B189" s="909"/>
      <c r="C189" s="909"/>
      <c r="D189" s="909"/>
      <c r="E189" s="909"/>
      <c r="F189" s="1553"/>
      <c r="G189" s="1553"/>
      <c r="H189" s="285"/>
      <c r="N189" s="1283"/>
      <c r="P189" s="1283"/>
      <c r="Q189" s="1553"/>
      <c r="R189" s="1553"/>
      <c r="S189" s="1283"/>
      <c r="T189" s="1283"/>
      <c r="U189" s="1283"/>
      <c r="V189" s="1283"/>
      <c r="W189" s="1553"/>
      <c r="X189" s="1283"/>
      <c r="Y189" s="1283"/>
      <c r="Z189" s="478"/>
      <c r="AA189" s="1283"/>
      <c r="AB189" s="1283"/>
      <c r="AC189" s="1283"/>
      <c r="AD189" s="1283"/>
      <c r="AE189" s="1283"/>
      <c r="AF189" s="1549"/>
      <c r="AG189" s="556"/>
      <c r="AH189" s="556"/>
      <c r="AI189" s="556"/>
      <c r="AJ189" s="556"/>
      <c r="AK189" s="1558">
        <v>11</v>
      </c>
    </row>
    <row r="190" spans="1:37" ht="11.5" customHeight="1">
      <c r="AK190" s="1548">
        <v>11</v>
      </c>
    </row>
    <row r="191" spans="1:37" ht="11.5" customHeight="1">
      <c r="AK191" s="1548">
        <v>11</v>
      </c>
    </row>
    <row r="192" spans="1:37" ht="11.5" customHeight="1">
      <c r="AK192" s="1548">
        <v>11</v>
      </c>
    </row>
    <row r="193" spans="1:37" ht="11.5" customHeight="1">
      <c r="A193" s="912"/>
      <c r="B193" s="912"/>
      <c r="C193" s="912"/>
      <c r="D193" s="912"/>
      <c r="E193" s="912"/>
      <c r="F193" s="1548"/>
      <c r="H193" s="1548"/>
      <c r="N193" s="1548"/>
      <c r="P193" s="1548"/>
      <c r="S193" s="1548"/>
      <c r="T193" s="1548"/>
      <c r="U193" s="1548"/>
      <c r="V193" s="1548"/>
      <c r="X193" s="1548"/>
      <c r="Y193" s="1548"/>
      <c r="Z193" s="1548"/>
      <c r="AA193" s="1548"/>
      <c r="AB193" s="1548"/>
      <c r="AC193" s="1548"/>
      <c r="AD193" s="1548"/>
      <c r="AE193" s="1548"/>
      <c r="AF193" s="1548"/>
      <c r="AG193" s="1548"/>
      <c r="AH193" s="1548"/>
      <c r="AI193" s="1548"/>
      <c r="AJ193" s="1548"/>
      <c r="AK193" s="1548">
        <v>11</v>
      </c>
    </row>
    <row r="194" spans="1:37" ht="11.5" customHeight="1">
      <c r="A194" s="912"/>
      <c r="B194" s="912"/>
      <c r="C194" s="912"/>
      <c r="D194" s="912"/>
      <c r="E194" s="912"/>
      <c r="F194" s="1548"/>
      <c r="H194" s="1548"/>
      <c r="N194" s="1548"/>
      <c r="P194" s="1548"/>
      <c r="S194" s="1548"/>
      <c r="T194" s="1548"/>
      <c r="U194" s="1548"/>
      <c r="V194" s="1548"/>
      <c r="X194" s="1548"/>
      <c r="Y194" s="1548"/>
      <c r="Z194" s="1548"/>
      <c r="AA194" s="1548"/>
      <c r="AB194" s="1548"/>
      <c r="AC194" s="1548"/>
      <c r="AD194" s="1548"/>
      <c r="AE194" s="1548"/>
      <c r="AF194" s="1548"/>
      <c r="AG194" s="1548"/>
      <c r="AH194" s="1548"/>
      <c r="AI194" s="1548"/>
      <c r="AJ194" s="1548"/>
      <c r="AK194" s="1548">
        <v>11</v>
      </c>
    </row>
    <row r="195" spans="1:37" ht="11.5" customHeight="1">
      <c r="A195" s="912"/>
      <c r="B195" s="912"/>
      <c r="C195" s="912"/>
      <c r="D195" s="912"/>
      <c r="E195" s="912"/>
      <c r="F195" s="1548"/>
      <c r="H195" s="1548"/>
      <c r="N195" s="1548"/>
      <c r="P195" s="1548"/>
      <c r="S195" s="1548"/>
      <c r="T195" s="1548"/>
      <c r="U195" s="1548"/>
      <c r="V195" s="1548"/>
      <c r="X195" s="1548"/>
      <c r="Y195" s="1548"/>
      <c r="Z195" s="1548"/>
      <c r="AA195" s="1548"/>
      <c r="AB195" s="1548"/>
      <c r="AC195" s="1548"/>
      <c r="AD195" s="1548"/>
      <c r="AE195" s="1548"/>
      <c r="AF195" s="1548"/>
      <c r="AG195" s="1548"/>
      <c r="AH195" s="1548"/>
      <c r="AI195" s="1548"/>
      <c r="AJ195" s="1548"/>
      <c r="AK195" s="1548">
        <v>11</v>
      </c>
    </row>
    <row r="196" spans="1:37" ht="11.5" customHeight="1">
      <c r="A196" s="912"/>
      <c r="B196" s="912"/>
      <c r="C196" s="912"/>
      <c r="D196" s="912"/>
      <c r="E196" s="912"/>
      <c r="F196" s="1548"/>
      <c r="H196" s="1548"/>
      <c r="N196" s="1548"/>
      <c r="P196" s="1548"/>
      <c r="S196" s="1548"/>
      <c r="T196" s="1548"/>
      <c r="U196" s="1548"/>
      <c r="V196" s="1548"/>
      <c r="X196" s="1548"/>
      <c r="Y196" s="1548"/>
      <c r="Z196" s="1548"/>
      <c r="AA196" s="1548"/>
      <c r="AB196" s="1548"/>
      <c r="AC196" s="1548"/>
      <c r="AD196" s="1548"/>
      <c r="AE196" s="1548"/>
      <c r="AF196" s="1548"/>
      <c r="AG196" s="1548"/>
      <c r="AH196" s="1548"/>
      <c r="AI196" s="1548"/>
      <c r="AJ196" s="1548"/>
      <c r="AK196" s="1548">
        <v>11</v>
      </c>
    </row>
    <row r="197" spans="1:37" ht="11.5" customHeight="1">
      <c r="A197" s="912"/>
      <c r="B197" s="912"/>
      <c r="C197" s="912"/>
      <c r="D197" s="912"/>
      <c r="E197" s="912"/>
      <c r="F197" s="1548"/>
      <c r="H197" s="1548"/>
      <c r="N197" s="1548"/>
      <c r="P197" s="1548"/>
      <c r="S197" s="1548"/>
      <c r="T197" s="1548"/>
      <c r="U197" s="1548"/>
      <c r="V197" s="1548"/>
      <c r="X197" s="1548"/>
      <c r="Y197" s="1548"/>
      <c r="Z197" s="1548"/>
      <c r="AA197" s="1548"/>
      <c r="AB197" s="1548"/>
      <c r="AC197" s="1548"/>
      <c r="AD197" s="1548"/>
      <c r="AE197" s="1548"/>
      <c r="AF197" s="1548"/>
      <c r="AG197" s="1548"/>
      <c r="AH197" s="1548"/>
      <c r="AI197" s="1548"/>
      <c r="AJ197" s="1548"/>
      <c r="AK197" s="1548">
        <v>11</v>
      </c>
    </row>
    <row r="198" spans="1:37" ht="11.5" customHeight="1">
      <c r="A198" s="912"/>
      <c r="B198" s="912"/>
      <c r="C198" s="912"/>
      <c r="D198" s="912"/>
      <c r="E198" s="912"/>
      <c r="F198" s="1548"/>
      <c r="H198" s="1548"/>
      <c r="N198" s="1548"/>
      <c r="P198" s="1548"/>
      <c r="S198" s="1548"/>
      <c r="T198" s="1548"/>
      <c r="U198" s="1548"/>
      <c r="V198" s="1548"/>
      <c r="X198" s="1548"/>
      <c r="Y198" s="1548"/>
      <c r="Z198" s="1548"/>
      <c r="AA198" s="1548"/>
      <c r="AB198" s="1548"/>
      <c r="AC198" s="1548"/>
      <c r="AD198" s="1548"/>
      <c r="AE198" s="1548"/>
      <c r="AF198" s="1548"/>
      <c r="AG198" s="1548"/>
      <c r="AH198" s="1548"/>
      <c r="AI198" s="1548"/>
      <c r="AJ198" s="1548"/>
      <c r="AK198" s="1548">
        <v>11</v>
      </c>
    </row>
    <row r="199" spans="1:37" ht="11.5" customHeight="1">
      <c r="A199" s="912"/>
      <c r="B199" s="912"/>
      <c r="C199" s="912"/>
      <c r="D199" s="912"/>
      <c r="E199" s="912"/>
      <c r="F199" s="1548"/>
      <c r="H199" s="1548"/>
      <c r="N199" s="1548"/>
      <c r="P199" s="1548"/>
      <c r="S199" s="1548"/>
      <c r="T199" s="1548"/>
      <c r="U199" s="1548"/>
      <c r="V199" s="1548"/>
      <c r="X199" s="1548"/>
      <c r="Y199" s="1548"/>
      <c r="Z199" s="1548"/>
      <c r="AA199" s="1548"/>
      <c r="AB199" s="1548"/>
      <c r="AC199" s="1548"/>
      <c r="AD199" s="1548"/>
      <c r="AE199" s="1548"/>
      <c r="AF199" s="1548"/>
      <c r="AG199" s="1548"/>
      <c r="AH199" s="1548"/>
      <c r="AI199" s="1548"/>
      <c r="AJ199" s="1548"/>
      <c r="AK199" s="1548">
        <v>11</v>
      </c>
    </row>
    <row r="200" spans="1:37" ht="11.5" customHeight="1">
      <c r="A200" s="912"/>
      <c r="B200" s="912"/>
      <c r="C200" s="912"/>
      <c r="D200" s="912"/>
      <c r="E200" s="912"/>
      <c r="F200" s="1548"/>
      <c r="H200" s="1548"/>
      <c r="N200" s="1548"/>
      <c r="P200" s="1548"/>
      <c r="S200" s="1548"/>
      <c r="T200" s="1548"/>
      <c r="U200" s="1548"/>
      <c r="V200" s="1548"/>
      <c r="X200" s="1548"/>
      <c r="Y200" s="1548"/>
      <c r="Z200" s="1548"/>
      <c r="AA200" s="1548"/>
      <c r="AB200" s="1548"/>
      <c r="AC200" s="1548"/>
      <c r="AD200" s="1548"/>
      <c r="AE200" s="1548"/>
      <c r="AF200" s="1548"/>
      <c r="AG200" s="1548"/>
      <c r="AH200" s="1548"/>
      <c r="AI200" s="1548"/>
      <c r="AJ200" s="1548"/>
      <c r="AK200" s="1548">
        <v>11</v>
      </c>
    </row>
    <row r="201" spans="1:37" ht="11.5" customHeight="1">
      <c r="A201" s="912"/>
      <c r="B201" s="912"/>
      <c r="C201" s="912"/>
      <c r="D201" s="912"/>
      <c r="E201" s="912"/>
      <c r="F201" s="1548"/>
      <c r="H201" s="1548"/>
      <c r="N201" s="1548"/>
      <c r="P201" s="1548"/>
      <c r="S201" s="1548"/>
      <c r="T201" s="1548"/>
      <c r="U201" s="1548"/>
      <c r="V201" s="1548"/>
      <c r="X201" s="1548"/>
      <c r="Y201" s="1548"/>
      <c r="Z201" s="1548"/>
      <c r="AA201" s="1548"/>
      <c r="AB201" s="1548"/>
      <c r="AC201" s="1548"/>
      <c r="AD201" s="1548"/>
      <c r="AE201" s="1548"/>
      <c r="AF201" s="1548"/>
      <c r="AG201" s="1548"/>
      <c r="AH201" s="1548"/>
      <c r="AI201" s="1548"/>
      <c r="AJ201" s="1548"/>
      <c r="AK201" s="1548">
        <v>11</v>
      </c>
    </row>
    <row r="202" spans="1:37" ht="11.5" customHeight="1">
      <c r="A202" s="912"/>
      <c r="B202" s="912"/>
      <c r="C202" s="912"/>
      <c r="D202" s="912"/>
      <c r="E202" s="912"/>
      <c r="F202" s="1548"/>
      <c r="H202" s="1548"/>
      <c r="N202" s="1548"/>
      <c r="P202" s="1548"/>
      <c r="S202" s="1548"/>
      <c r="T202" s="1548"/>
      <c r="U202" s="1548"/>
      <c r="V202" s="1548"/>
      <c r="X202" s="1548"/>
      <c r="Y202" s="1548"/>
      <c r="Z202" s="1548"/>
      <c r="AA202" s="1548"/>
      <c r="AB202" s="1548"/>
      <c r="AC202" s="1548"/>
      <c r="AD202" s="1548"/>
      <c r="AE202" s="1548"/>
      <c r="AF202" s="1548"/>
      <c r="AG202" s="1548"/>
      <c r="AH202" s="1548"/>
      <c r="AI202" s="1548"/>
      <c r="AJ202" s="1548"/>
      <c r="AK202" s="1548">
        <v>11</v>
      </c>
    </row>
    <row r="203" spans="1:37" ht="11.5" customHeight="1">
      <c r="A203" s="912"/>
      <c r="B203" s="912"/>
      <c r="C203" s="912"/>
      <c r="D203" s="912"/>
      <c r="E203" s="912"/>
      <c r="F203" s="1548"/>
      <c r="H203" s="1548"/>
      <c r="N203" s="1548"/>
      <c r="P203" s="1548"/>
      <c r="S203" s="1548"/>
      <c r="T203" s="1548"/>
      <c r="U203" s="1548"/>
      <c r="V203" s="1548"/>
      <c r="X203" s="1548"/>
      <c r="Y203" s="1548"/>
      <c r="Z203" s="1548"/>
      <c r="AA203" s="1548"/>
      <c r="AB203" s="1548"/>
      <c r="AC203" s="1548"/>
      <c r="AD203" s="1548"/>
      <c r="AE203" s="1548"/>
      <c r="AF203" s="1548"/>
      <c r="AG203" s="1548"/>
      <c r="AH203" s="1548"/>
      <c r="AI203" s="1548"/>
      <c r="AJ203" s="1548"/>
      <c r="AK203" s="1548">
        <v>11</v>
      </c>
    </row>
    <row r="204" spans="1:37" ht="12.75" hidden="1" customHeight="1">
      <c r="A204" s="909" t="s">
        <v>83</v>
      </c>
      <c r="B204" s="909" t="s">
        <v>162</v>
      </c>
      <c r="C204" s="909" t="s">
        <v>162</v>
      </c>
      <c r="D204" s="909" t="s">
        <v>162</v>
      </c>
      <c r="E204" s="909" t="s">
        <v>162</v>
      </c>
      <c r="F204" s="1552">
        <v>16</v>
      </c>
      <c r="G204" s="1553">
        <v>0</v>
      </c>
      <c r="H204" s="1552">
        <v>3</v>
      </c>
      <c r="I204" s="1548">
        <v>7</v>
      </c>
      <c r="J204" s="1548">
        <v>56</v>
      </c>
      <c r="K204" s="1548">
        <v>10</v>
      </c>
      <c r="L204" s="1548">
        <v>40</v>
      </c>
      <c r="M204" s="1548">
        <v>40</v>
      </c>
      <c r="N204" s="1283">
        <v>9</v>
      </c>
      <c r="O204" s="1548">
        <v>102</v>
      </c>
      <c r="P204" s="1283">
        <v>9</v>
      </c>
      <c r="Q204" s="1553">
        <v>5</v>
      </c>
      <c r="R204" s="1553">
        <v>3</v>
      </c>
      <c r="S204" s="1283">
        <v>3</v>
      </c>
      <c r="T204" s="1283">
        <v>3</v>
      </c>
      <c r="U204" s="1283">
        <v>3</v>
      </c>
      <c r="V204" s="1283">
        <v>3</v>
      </c>
      <c r="W204" s="1553">
        <v>10</v>
      </c>
      <c r="X204" s="1283">
        <v>34</v>
      </c>
      <c r="Y204" s="1283">
        <v>9</v>
      </c>
      <c r="Z204" s="478">
        <v>8</v>
      </c>
      <c r="AA204" s="1283">
        <v>8</v>
      </c>
      <c r="AB204" s="1283">
        <v>8</v>
      </c>
      <c r="AC204" s="1283">
        <v>8</v>
      </c>
      <c r="AD204" s="1283">
        <v>8</v>
      </c>
      <c r="AE204" s="1283">
        <v>8</v>
      </c>
      <c r="AF204" s="1549">
        <v>8</v>
      </c>
      <c r="AG204" s="1549">
        <v>8</v>
      </c>
      <c r="AH204" s="1549">
        <v>8</v>
      </c>
      <c r="AI204" s="1549">
        <v>8</v>
      </c>
      <c r="AJ204" s="1549">
        <v>8</v>
      </c>
      <c r="AK204" s="1548">
        <v>11</v>
      </c>
    </row>
  </sheetData>
  <sheetProtection insertRows="0" deleteColumns="0" deleteRows="0" sort="0" autoFilter="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xr:uid="{00000000-0002-0000-2200-000000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xr:uid="{00000000-0002-0000-2200-000001000000}">
      <formula1>900</formula1>
    </dataValidation>
    <dataValidation type="whole" allowBlank="1" showErrorMessage="1" errorTitle="Ошибка" error="Допускается ввод только неотрицательных целых чисел!" sqref="L30:M31" xr:uid="{00000000-0002-0000-2200-000002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xr:uid="{00000000-0002-0000-2200-000003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F92F9B-8B4D-D425-3741-022A59B4035E}">
  <sheetPr>
    <tabColor theme="9" tint="-0.249977111117893"/>
  </sheetPr>
  <dimension ref="A1:W16"/>
  <sheetViews>
    <sheetView showGridLines="0" topLeftCell="H4" zoomScale="90" workbookViewId="0"/>
  </sheetViews>
  <sheetFormatPr defaultColWidth="10.59765625" defaultRowHeight="14.25" customHeight="1"/>
  <cols>
    <col min="1" max="4" width="10.59765625" style="2004" hidden="1"/>
    <col min="5" max="5" width="9.09765625" style="2217" hidden="1" customWidth="1"/>
    <col min="6" max="7" width="9.09765625" style="2016" hidden="1" customWidth="1"/>
    <col min="8" max="8" width="3" style="2215" customWidth="1"/>
    <col min="9" max="9" width="6" style="2004" customWidth="1"/>
    <col min="10" max="10" width="63" style="2004" customWidth="1"/>
    <col min="11" max="11" width="9" style="2004" customWidth="1"/>
    <col min="12" max="12" width="39" style="2004" customWidth="1"/>
    <col min="13" max="13" width="89" style="2004" customWidth="1"/>
    <col min="14" max="14" width="10" style="2004" customWidth="1"/>
    <col min="15" max="16" width="10" style="2022" customWidth="1"/>
    <col min="17" max="22" width="10" style="2004" customWidth="1"/>
    <col min="23" max="23" width="10.59765625" style="2004" hidden="1"/>
  </cols>
  <sheetData>
    <row r="1" spans="1:23" ht="22.5" hidden="1" customHeight="1">
      <c r="S1" s="190"/>
      <c r="T1" s="190"/>
      <c r="V1" s="190"/>
      <c r="W1" s="1548" t="s">
        <v>14</v>
      </c>
    </row>
    <row r="2" spans="1:23" ht="22.5" hidden="1" customHeight="1">
      <c r="B2" s="1964" t="s">
        <v>720</v>
      </c>
      <c r="C2" s="1964" t="s">
        <v>721</v>
      </c>
      <c r="D2" s="1963" t="s">
        <v>660</v>
      </c>
      <c r="E2" s="1969">
        <f>I2-3</f>
        <v>-3</v>
      </c>
      <c r="F2" s="1969">
        <f>J2</f>
        <v>0</v>
      </c>
      <c r="H2" s="1646" t="s">
        <v>105</v>
      </c>
      <c r="I2" s="1935"/>
      <c r="J2" s="1599"/>
      <c r="K2" s="1929" t="s">
        <v>341</v>
      </c>
      <c r="L2" s="1081"/>
      <c r="M2" s="232"/>
      <c r="N2" s="1541"/>
      <c r="P2" s="1548"/>
      <c r="W2" s="1548">
        <v>0</v>
      </c>
    </row>
    <row r="3" spans="1:23" ht="14.25" hidden="1" customHeight="1">
      <c r="W3" s="1548">
        <v>0</v>
      </c>
    </row>
    <row r="4" spans="1:23" ht="6.25" customHeight="1">
      <c r="H4" s="310"/>
      <c r="I4" s="391"/>
      <c r="J4" s="391"/>
      <c r="K4" s="391"/>
      <c r="L4" s="23"/>
      <c r="M4" s="23"/>
      <c r="W4" s="1548">
        <v>6</v>
      </c>
    </row>
    <row r="5" spans="1:23" ht="50.25" customHeight="1">
      <c r="H5" s="310"/>
      <c r="I5" s="3183" t="s">
        <v>722</v>
      </c>
      <c r="J5" s="3183"/>
      <c r="K5" s="3183"/>
      <c r="L5" s="3183"/>
      <c r="M5" s="201"/>
      <c r="W5" s="1548">
        <v>48</v>
      </c>
    </row>
    <row r="6" spans="1:23" ht="18" customHeight="1">
      <c r="H6" s="310"/>
      <c r="I6" s="3131" t="str">
        <f>IF(org=0,"Не определено",org)</f>
        <v>ООО "РСО"</v>
      </c>
      <c r="J6" s="3131"/>
      <c r="K6" s="3131"/>
      <c r="L6" s="3131"/>
      <c r="M6" s="201"/>
      <c r="W6" s="1548">
        <v>17</v>
      </c>
    </row>
    <row r="7" spans="1:23" ht="14.65" customHeight="1">
      <c r="H7" s="310"/>
      <c r="I7" s="391"/>
      <c r="J7" s="397"/>
      <c r="K7" s="397"/>
      <c r="L7" s="686"/>
      <c r="M7" s="128"/>
      <c r="W7" s="1548">
        <v>14</v>
      </c>
    </row>
    <row r="8" spans="1:23" ht="14.65" customHeight="1">
      <c r="H8" s="310"/>
      <c r="I8" s="3298" t="s">
        <v>335</v>
      </c>
      <c r="J8" s="3299"/>
      <c r="K8" s="3299"/>
      <c r="L8" s="3300"/>
      <c r="M8" s="3301" t="s">
        <v>336</v>
      </c>
      <c r="W8" s="1548">
        <v>14</v>
      </c>
    </row>
    <row r="9" spans="1:23" ht="35.65" customHeight="1">
      <c r="E9" s="1962" t="s">
        <v>651</v>
      </c>
      <c r="F9" s="1962" t="s">
        <v>657</v>
      </c>
      <c r="H9" s="310"/>
      <c r="I9" s="1936" t="s">
        <v>89</v>
      </c>
      <c r="J9" s="1937" t="s">
        <v>337</v>
      </c>
      <c r="K9" s="1975" t="s">
        <v>599</v>
      </c>
      <c r="L9" s="1976" t="s">
        <v>338</v>
      </c>
      <c r="M9" s="3301"/>
      <c r="W9" s="1548">
        <v>34</v>
      </c>
    </row>
    <row r="10" spans="1:23" ht="35.65" customHeight="1">
      <c r="B10" s="1964" t="s">
        <v>723</v>
      </c>
      <c r="C10" s="1964" t="s">
        <v>724</v>
      </c>
      <c r="D10" s="1963" t="s">
        <v>660</v>
      </c>
      <c r="E10" s="1967" t="s">
        <v>661</v>
      </c>
      <c r="F10" s="1967" t="s">
        <v>661</v>
      </c>
      <c r="H10" s="310"/>
      <c r="I10" s="1935" t="s">
        <v>124</v>
      </c>
      <c r="J10" s="1800" t="s">
        <v>725</v>
      </c>
      <c r="K10" s="1929" t="s">
        <v>341</v>
      </c>
      <c r="L10" s="746"/>
      <c r="M10" s="232" t="s">
        <v>726</v>
      </c>
      <c r="W10" s="1548">
        <v>34</v>
      </c>
    </row>
    <row r="11" spans="1:23" ht="50.25" customHeight="1">
      <c r="B11" s="1964" t="s">
        <v>727</v>
      </c>
      <c r="C11" s="1964" t="s">
        <v>728</v>
      </c>
      <c r="D11" s="1963" t="s">
        <v>660</v>
      </c>
      <c r="E11" s="1967" t="s">
        <v>661</v>
      </c>
      <c r="F11" s="1967" t="s">
        <v>661</v>
      </c>
      <c r="H11" s="310"/>
      <c r="I11" s="1935" t="s">
        <v>104</v>
      </c>
      <c r="J11" s="1800" t="s">
        <v>729</v>
      </c>
      <c r="K11" s="1929" t="s">
        <v>341</v>
      </c>
      <c r="L11" s="746"/>
      <c r="M11" s="232" t="s">
        <v>726</v>
      </c>
      <c r="W11" s="1548">
        <v>48</v>
      </c>
    </row>
    <row r="12" spans="1:23" ht="48.25" customHeight="1">
      <c r="B12" s="1964" t="s">
        <v>730</v>
      </c>
      <c r="C12" s="1964" t="s">
        <v>731</v>
      </c>
      <c r="D12" s="1963" t="s">
        <v>660</v>
      </c>
      <c r="E12" s="1967" t="s">
        <v>661</v>
      </c>
      <c r="F12" s="1967" t="s">
        <v>661</v>
      </c>
      <c r="H12" s="1605"/>
      <c r="I12" s="1935" t="s">
        <v>91</v>
      </c>
      <c r="J12" s="1942" t="s">
        <v>732</v>
      </c>
      <c r="K12" s="1929" t="s">
        <v>341</v>
      </c>
      <c r="L12" s="746"/>
      <c r="M12" s="232" t="s">
        <v>733</v>
      </c>
      <c r="N12" s="1541"/>
      <c r="P12" s="1548"/>
      <c r="W12" s="1548">
        <v>46</v>
      </c>
    </row>
    <row r="13" spans="1:23" ht="14.65" customHeight="1">
      <c r="E13" s="278"/>
      <c r="H13" s="310"/>
      <c r="I13" s="282"/>
      <c r="J13" s="585" t="s">
        <v>734</v>
      </c>
      <c r="K13" s="505"/>
      <c r="L13" s="149"/>
      <c r="M13" s="232"/>
      <c r="W13" s="1548">
        <v>14</v>
      </c>
    </row>
    <row r="14" spans="1:23" ht="14.65" customHeight="1">
      <c r="E14" s="278"/>
      <c r="H14" s="310"/>
      <c r="I14" s="978"/>
      <c r="J14" s="1594"/>
      <c r="K14" s="1595"/>
      <c r="L14" s="1596"/>
      <c r="M14" s="1939"/>
      <c r="W14" s="1548">
        <v>14</v>
      </c>
    </row>
    <row r="15" spans="1:23" ht="14.65" customHeight="1">
      <c r="I15" s="1598"/>
      <c r="J15" s="3219"/>
      <c r="K15" s="3219"/>
      <c r="L15" s="3219"/>
      <c r="M15" s="3219"/>
      <c r="W15" s="1548">
        <v>14</v>
      </c>
    </row>
    <row r="16" spans="1:23" ht="21" hidden="1" customHeight="1">
      <c r="A16" s="1941" t="s">
        <v>83</v>
      </c>
      <c r="B16" s="1548">
        <v>9</v>
      </c>
      <c r="C16" s="1548">
        <v>9</v>
      </c>
      <c r="D16" s="1548">
        <v>9</v>
      </c>
      <c r="E16" s="1941" t="s">
        <v>107</v>
      </c>
      <c r="F16" s="1966" t="s">
        <v>107</v>
      </c>
      <c r="G16" s="1968"/>
      <c r="H16" s="279">
        <v>3</v>
      </c>
      <c r="I16" s="1548">
        <v>6</v>
      </c>
      <c r="J16" s="1548">
        <v>63</v>
      </c>
      <c r="K16" s="1548">
        <v>9</v>
      </c>
      <c r="L16" s="1548">
        <v>39</v>
      </c>
      <c r="M16" s="1548">
        <v>89</v>
      </c>
      <c r="N16" s="1548">
        <v>10</v>
      </c>
      <c r="O16" s="1541">
        <v>10</v>
      </c>
      <c r="P16" s="1541">
        <v>10</v>
      </c>
      <c r="Q16" s="1548">
        <v>10</v>
      </c>
      <c r="R16" s="1548">
        <v>10</v>
      </c>
      <c r="S16" s="1548">
        <v>10</v>
      </c>
      <c r="T16" s="1548">
        <v>10</v>
      </c>
      <c r="U16" s="1548">
        <v>10</v>
      </c>
      <c r="V16" s="1548">
        <v>10</v>
      </c>
      <c r="W16" s="1548">
        <v>23</v>
      </c>
    </row>
  </sheetData>
  <sheetProtection formatColumns="0" formatRows="0" insertRows="0" deleteColumns="0" deleteRows="0" sort="0" autoFilter="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xr:uid="{00000000-0002-0000-23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xr:uid="{00000000-0002-0000-2300-000001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527A53-71FE-F207-A592-74E71D99C4AE}">
  <sheetPr>
    <tabColor theme="9" tint="-0.249977111117893"/>
  </sheetPr>
  <dimension ref="A1:AF217"/>
  <sheetViews>
    <sheetView showGridLines="0" topLeftCell="D5" zoomScale="90" workbookViewId="0"/>
  </sheetViews>
  <sheetFormatPr defaultColWidth="9.09765625" defaultRowHeight="11.25" customHeight="1"/>
  <cols>
    <col min="1" max="1" width="10.69921875" style="2982" hidden="1" customWidth="1"/>
    <col min="2" max="2" width="16.796875" style="2016" hidden="1" customWidth="1"/>
    <col min="3" max="3" width="5.59765625" style="2017" hidden="1" customWidth="1"/>
    <col min="4" max="4" width="3" style="2004" customWidth="1"/>
    <col min="5" max="5" width="7" style="2004" customWidth="1"/>
    <col min="6" max="6" width="56" style="2004" customWidth="1"/>
    <col min="7" max="7" width="10" style="2004" customWidth="1"/>
    <col min="8" max="8" width="40.69921875" style="2004" hidden="1" customWidth="1"/>
    <col min="9" max="9" width="40" style="2004" customWidth="1"/>
    <col min="10" max="10" width="102" style="2004" customWidth="1"/>
    <col min="11" max="11" width="9" style="2016" customWidth="1"/>
    <col min="12" max="12" width="5" style="2017" customWidth="1"/>
    <col min="13" max="13" width="3" style="2017" customWidth="1"/>
    <col min="14" max="17" width="3" style="2016" customWidth="1"/>
    <col min="18" max="18" width="10" style="2017" customWidth="1"/>
    <col min="19" max="19" width="34" style="2016" customWidth="1"/>
    <col min="20" max="20" width="9" style="2016" customWidth="1"/>
    <col min="21" max="21" width="8" style="2983" customWidth="1"/>
    <col min="22" max="26" width="8" style="2016" customWidth="1"/>
    <col min="27" max="31" width="8" style="2002" customWidth="1"/>
    <col min="32" max="32" width="10.3984375" style="2004" hidden="1" customWidth="1"/>
  </cols>
  <sheetData>
    <row r="1" spans="1:32" s="2016" customFormat="1" ht="22.5" hidden="1" customHeight="1">
      <c r="A1" s="909"/>
      <c r="C1" s="1553"/>
      <c r="D1" s="471"/>
      <c r="H1" s="1077">
        <v>4</v>
      </c>
      <c r="I1" s="1077">
        <v>4</v>
      </c>
      <c r="L1" s="1553"/>
      <c r="M1" s="1553"/>
      <c r="R1" s="1553"/>
      <c r="AF1" s="1077" t="s">
        <v>14</v>
      </c>
    </row>
    <row r="2" spans="1:32" s="2016" customFormat="1" ht="22.5" hidden="1" customHeight="1">
      <c r="A2" s="909"/>
      <c r="C2" s="1553"/>
      <c r="D2" s="472"/>
      <c r="E2" s="1554"/>
      <c r="F2" s="474"/>
      <c r="G2" s="1556" t="s">
        <v>585</v>
      </c>
      <c r="H2" s="475"/>
      <c r="I2" s="475"/>
      <c r="J2" s="476" t="s">
        <v>735</v>
      </c>
      <c r="K2" s="477"/>
      <c r="L2" s="1553"/>
      <c r="M2" s="1553"/>
      <c r="R2" s="1553"/>
      <c r="U2" s="478"/>
      <c r="AA2" s="1549"/>
      <c r="AB2" s="1549"/>
      <c r="AC2" s="1549"/>
      <c r="AD2" s="1549"/>
      <c r="AE2" s="1549"/>
      <c r="AF2" s="1077">
        <v>0</v>
      </c>
    </row>
    <row r="3" spans="1:32" ht="11.25" hidden="1" customHeight="1">
      <c r="AF3" s="1548">
        <v>0</v>
      </c>
    </row>
    <row r="4" spans="1:32" s="2002" customFormat="1" ht="11.25" hidden="1" customHeight="1">
      <c r="A4" s="909"/>
      <c r="B4" s="1077"/>
      <c r="C4" s="1553"/>
      <c r="D4" s="296"/>
      <c r="J4" s="1549">
        <v>4</v>
      </c>
      <c r="K4" s="1077"/>
      <c r="L4" s="1553"/>
      <c r="M4" s="1553"/>
      <c r="N4" s="1077"/>
      <c r="O4" s="1077"/>
      <c r="P4" s="1077"/>
      <c r="Q4" s="1077"/>
      <c r="R4" s="1553"/>
      <c r="S4" s="1077"/>
      <c r="T4" s="1077"/>
      <c r="U4" s="478"/>
      <c r="V4" s="1077"/>
      <c r="W4" s="1077"/>
      <c r="X4" s="1077"/>
      <c r="Y4" s="1077"/>
      <c r="Z4" s="1077"/>
      <c r="AF4" s="1549">
        <v>0</v>
      </c>
    </row>
    <row r="5" spans="1:32" ht="11.5" customHeight="1">
      <c r="AF5" s="1548">
        <v>11</v>
      </c>
    </row>
    <row r="6" spans="1:32" ht="31.5" customHeight="1">
      <c r="E6" s="3144" t="s">
        <v>736</v>
      </c>
      <c r="F6" s="3144"/>
      <c r="G6" s="3144"/>
      <c r="H6" s="3144"/>
      <c r="I6" s="3144"/>
      <c r="J6" s="490"/>
      <c r="AF6" s="1548">
        <v>30</v>
      </c>
    </row>
    <row r="7" spans="1:32" ht="11.5" customHeight="1">
      <c r="E7" s="3131" t="str">
        <f>IF(org=0,"Не определено",org)</f>
        <v>ООО "РСО"</v>
      </c>
      <c r="F7" s="3131"/>
      <c r="G7" s="3131"/>
      <c r="H7" s="3131"/>
      <c r="I7" s="3131"/>
      <c r="AF7" s="1548">
        <v>11</v>
      </c>
    </row>
    <row r="8" spans="1:32" ht="11.5" customHeight="1">
      <c r="E8" s="1052"/>
      <c r="F8" s="1052"/>
      <c r="G8" s="1052"/>
      <c r="H8" s="1052"/>
      <c r="I8" s="1052"/>
      <c r="AF8" s="1548">
        <v>11</v>
      </c>
    </row>
    <row r="9" spans="1:32" s="2017" customFormat="1" ht="4.25" customHeight="1">
      <c r="A9" s="1084"/>
      <c r="D9" s="1559"/>
      <c r="H9" s="812"/>
      <c r="I9" s="812" t="s">
        <v>131</v>
      </c>
      <c r="AF9" s="1553">
        <v>4</v>
      </c>
    </row>
    <row r="10" spans="1:32" ht="11.5" customHeight="1">
      <c r="E10" s="645"/>
      <c r="F10" s="3282" t="s">
        <v>120</v>
      </c>
      <c r="G10" s="3283"/>
      <c r="H10" s="1469" t="str">
        <f>IF(H9="","",INDEX(DIFFERENTIATION_UNMERGE_VD,MATCH(H9,DIFFERENTIATION_ID_DIFF,0)))</f>
        <v/>
      </c>
      <c r="I10" s="1469">
        <f>IF(I9="","",INDEX(DIFFERENTIATION_UNMERGE_VD,MATCH(I9,DIFFERENTIATION_ID_DIFF,0)))</f>
        <v>0</v>
      </c>
      <c r="J10" s="3067"/>
      <c r="AF10" s="1548">
        <v>11</v>
      </c>
    </row>
    <row r="11" spans="1:32" ht="11.5" customHeight="1">
      <c r="E11" s="645"/>
      <c r="F11" s="3282" t="s">
        <v>597</v>
      </c>
      <c r="G11" s="3283"/>
      <c r="H11" s="1469" t="str">
        <f>IF(H9="","",INDEX(DIFFERENTIATION_UNMERGE_AREA,MATCH(H9,DIFFERENTIATION_ID_DIFF,0)))</f>
        <v/>
      </c>
      <c r="I11" s="1469" t="str">
        <f>IF(I9="","",INDEX(DIFFERENTIATION_UNMERGE_AREA,MATCH(I9,DIFFERENTIATION_ID_DIFF,0)))</f>
        <v/>
      </c>
      <c r="J11" s="3067"/>
      <c r="AF11" s="1548">
        <v>11</v>
      </c>
    </row>
    <row r="12" spans="1:32" ht="1" customHeight="1">
      <c r="E12" s="1579"/>
      <c r="F12" s="3302" t="s">
        <v>598</v>
      </c>
      <c r="G12" s="3303"/>
      <c r="H12" s="1580" t="str">
        <f>IF(H9="","",INDEX(DIFFERENTIATION_UNMERGE_SYSTEM,MATCH(H9,DIFFERENTIATION_ID_DIFF,0)))</f>
        <v/>
      </c>
      <c r="I12" s="1580" t="str">
        <f>IF(I9="","",INDEX(DIFFERENTIATION_UNMERGE_SYSTEM,MATCH(I9,DIFFERENTIATION_ID_DIFF,0)))</f>
        <v>без дифференциации</v>
      </c>
      <c r="J12" s="3067"/>
      <c r="AF12" s="1548">
        <v>1</v>
      </c>
    </row>
    <row r="13" spans="1:32" ht="11.5" customHeight="1">
      <c r="E13" s="3284" t="s">
        <v>335</v>
      </c>
      <c r="F13" s="3285"/>
      <c r="G13" s="3285"/>
      <c r="H13" s="1468"/>
      <c r="I13" s="1468"/>
      <c r="J13" s="3067"/>
      <c r="AF13" s="1548">
        <v>11</v>
      </c>
    </row>
    <row r="14" spans="1:32" ht="24" customHeight="1">
      <c r="E14" s="1556" t="s">
        <v>89</v>
      </c>
      <c r="F14" s="1551" t="s">
        <v>337</v>
      </c>
      <c r="G14" s="1551" t="s">
        <v>599</v>
      </c>
      <c r="H14" s="1551" t="s">
        <v>338</v>
      </c>
      <c r="I14" s="1551" t="s">
        <v>338</v>
      </c>
      <c r="J14" s="3067"/>
      <c r="AF14" s="1548">
        <v>23</v>
      </c>
    </row>
    <row r="15" spans="1:32" ht="20" customHeight="1">
      <c r="D15" s="1555"/>
      <c r="E15" s="1547" t="s">
        <v>124</v>
      </c>
      <c r="F15" s="641" t="s">
        <v>737</v>
      </c>
      <c r="G15" s="1563" t="s">
        <v>585</v>
      </c>
      <c r="H15" s="491"/>
      <c r="I15" s="491"/>
      <c r="J15" s="224" t="s">
        <v>738</v>
      </c>
      <c r="K15" s="477" t="s">
        <v>663</v>
      </c>
      <c r="AF15" s="1548">
        <v>19</v>
      </c>
    </row>
    <row r="16" spans="1:32" ht="35.65" customHeight="1">
      <c r="D16" s="1555"/>
      <c r="E16" s="1547" t="s">
        <v>104</v>
      </c>
      <c r="F16" s="641" t="s">
        <v>739</v>
      </c>
      <c r="G16" s="1563" t="s">
        <v>585</v>
      </c>
      <c r="H16" s="492">
        <f>SUM(H17,H20:H32)</f>
        <v>0</v>
      </c>
      <c r="I16" s="492">
        <f>SUM(I17,I20,I23,I26,I29:I32)</f>
        <v>0</v>
      </c>
      <c r="J16" s="224" t="s">
        <v>740</v>
      </c>
      <c r="K16" s="477" t="s">
        <v>663</v>
      </c>
      <c r="AF16" s="1548">
        <v>34</v>
      </c>
    </row>
    <row r="17" spans="1:32" ht="20" customHeight="1">
      <c r="D17" s="1555"/>
      <c r="E17" s="1581" t="s">
        <v>741</v>
      </c>
      <c r="F17" s="877" t="s">
        <v>742</v>
      </c>
      <c r="G17" s="1560" t="s">
        <v>585</v>
      </c>
      <c r="H17" s="491"/>
      <c r="I17" s="491"/>
      <c r="J17" s="224" t="s">
        <v>743</v>
      </c>
      <c r="K17" s="477"/>
      <c r="AF17" s="1548">
        <v>19</v>
      </c>
    </row>
    <row r="18" spans="1:32" ht="24" customHeight="1">
      <c r="D18" s="1555"/>
      <c r="E18" s="1581" t="s">
        <v>744</v>
      </c>
      <c r="F18" s="1567" t="s">
        <v>745</v>
      </c>
      <c r="G18" s="1560" t="s">
        <v>585</v>
      </c>
      <c r="H18" s="491"/>
      <c r="I18" s="491"/>
      <c r="J18" s="224" t="s">
        <v>746</v>
      </c>
      <c r="K18" s="477"/>
      <c r="AF18" s="1548">
        <v>23</v>
      </c>
    </row>
    <row r="19" spans="1:32" ht="35.65" customHeight="1">
      <c r="D19" s="1555"/>
      <c r="E19" s="1581" t="s">
        <v>747</v>
      </c>
      <c r="F19" s="1567" t="s">
        <v>748</v>
      </c>
      <c r="G19" s="1560" t="s">
        <v>585</v>
      </c>
      <c r="H19" s="491"/>
      <c r="I19" s="491"/>
      <c r="J19" s="224"/>
      <c r="K19" s="477"/>
      <c r="AF19" s="1548">
        <v>34</v>
      </c>
    </row>
    <row r="20" spans="1:32" ht="20" customHeight="1">
      <c r="D20" s="1555"/>
      <c r="E20" s="1581" t="s">
        <v>342</v>
      </c>
      <c r="F20" s="877" t="s">
        <v>749</v>
      </c>
      <c r="G20" s="1560" t="s">
        <v>585</v>
      </c>
      <c r="H20" s="491"/>
      <c r="I20" s="491"/>
      <c r="J20" s="224" t="s">
        <v>750</v>
      </c>
      <c r="K20" s="477"/>
      <c r="AF20" s="1548">
        <v>19</v>
      </c>
    </row>
    <row r="21" spans="1:32" ht="20" customHeight="1">
      <c r="D21" s="1555"/>
      <c r="E21" s="1581" t="s">
        <v>751</v>
      </c>
      <c r="F21" s="1567" t="s">
        <v>752</v>
      </c>
      <c r="G21" s="1560" t="s">
        <v>585</v>
      </c>
      <c r="H21" s="491"/>
      <c r="I21" s="491"/>
      <c r="J21" s="224"/>
      <c r="K21" s="477"/>
      <c r="AF21" s="1548">
        <v>19</v>
      </c>
    </row>
    <row r="22" spans="1:32" ht="20" customHeight="1">
      <c r="D22" s="1555"/>
      <c r="E22" s="1581" t="s">
        <v>753</v>
      </c>
      <c r="F22" s="1567" t="s">
        <v>754</v>
      </c>
      <c r="G22" s="1560" t="s">
        <v>585</v>
      </c>
      <c r="H22" s="491"/>
      <c r="I22" s="491"/>
      <c r="J22" s="224"/>
      <c r="K22" s="477"/>
      <c r="AF22" s="1548">
        <v>19</v>
      </c>
    </row>
    <row r="23" spans="1:32" ht="24" customHeight="1">
      <c r="D23" s="1555"/>
      <c r="E23" s="1581" t="s">
        <v>345</v>
      </c>
      <c r="F23" s="877" t="s">
        <v>755</v>
      </c>
      <c r="G23" s="1560" t="s">
        <v>585</v>
      </c>
      <c r="H23" s="491"/>
      <c r="I23" s="491"/>
      <c r="J23" s="224" t="s">
        <v>756</v>
      </c>
      <c r="K23" s="477"/>
      <c r="AF23" s="1548">
        <v>23</v>
      </c>
    </row>
    <row r="24" spans="1:32" ht="20" customHeight="1">
      <c r="D24" s="1555"/>
      <c r="E24" s="1581" t="s">
        <v>757</v>
      </c>
      <c r="F24" s="1567" t="s">
        <v>758</v>
      </c>
      <c r="G24" s="1560" t="s">
        <v>585</v>
      </c>
      <c r="H24" s="491"/>
      <c r="I24" s="491"/>
      <c r="J24" s="224"/>
      <c r="K24" s="477"/>
      <c r="AF24" s="1548">
        <v>19</v>
      </c>
    </row>
    <row r="25" spans="1:32" ht="35.65" customHeight="1">
      <c r="D25" s="1555"/>
      <c r="E25" s="1581" t="s">
        <v>759</v>
      </c>
      <c r="F25" s="1567" t="s">
        <v>760</v>
      </c>
      <c r="G25" s="1560" t="s">
        <v>585</v>
      </c>
      <c r="H25" s="491"/>
      <c r="I25" s="491"/>
      <c r="J25" s="224"/>
      <c r="K25" s="477"/>
      <c r="AF25" s="1548">
        <v>34</v>
      </c>
    </row>
    <row r="26" spans="1:32" ht="24" customHeight="1">
      <c r="D26" s="1555"/>
      <c r="E26" s="1581" t="s">
        <v>761</v>
      </c>
      <c r="F26" s="877" t="s">
        <v>762</v>
      </c>
      <c r="G26" s="1560" t="s">
        <v>585</v>
      </c>
      <c r="H26" s="491"/>
      <c r="I26" s="491"/>
      <c r="J26" s="224" t="s">
        <v>763</v>
      </c>
      <c r="K26" s="477"/>
      <c r="AF26" s="1548">
        <v>23</v>
      </c>
    </row>
    <row r="27" spans="1:32" ht="20" customHeight="1">
      <c r="D27" s="1555"/>
      <c r="E27" s="1592" t="s">
        <v>764</v>
      </c>
      <c r="F27" s="1567" t="s">
        <v>765</v>
      </c>
      <c r="G27" s="1571" t="s">
        <v>585</v>
      </c>
      <c r="H27" s="1593"/>
      <c r="I27" s="1593"/>
      <c r="J27" s="224"/>
      <c r="K27" s="477"/>
      <c r="AF27" s="1548">
        <v>19</v>
      </c>
    </row>
    <row r="28" spans="1:32" ht="20" customHeight="1">
      <c r="D28" s="1555"/>
      <c r="E28" s="1592" t="s">
        <v>766</v>
      </c>
      <c r="F28" s="1567" t="s">
        <v>767</v>
      </c>
      <c r="G28" s="1571" t="s">
        <v>585</v>
      </c>
      <c r="H28" s="1593"/>
      <c r="I28" s="1593"/>
      <c r="J28" s="224"/>
      <c r="K28" s="477"/>
      <c r="AF28" s="1548">
        <v>19</v>
      </c>
    </row>
    <row r="29" spans="1:32" ht="20" customHeight="1">
      <c r="D29" s="1555"/>
      <c r="E29" s="1592" t="s">
        <v>768</v>
      </c>
      <c r="F29" s="877" t="s">
        <v>769</v>
      </c>
      <c r="G29" s="1571" t="s">
        <v>585</v>
      </c>
      <c r="H29" s="1593"/>
      <c r="I29" s="1593"/>
      <c r="J29" s="224"/>
      <c r="K29" s="477"/>
      <c r="AF29" s="1548">
        <v>19</v>
      </c>
    </row>
    <row r="30" spans="1:32" ht="20" customHeight="1">
      <c r="D30" s="1555"/>
      <c r="E30" s="1592" t="s">
        <v>770</v>
      </c>
      <c r="F30" s="877" t="s">
        <v>771</v>
      </c>
      <c r="G30" s="1571" t="s">
        <v>585</v>
      </c>
      <c r="H30" s="1593"/>
      <c r="I30" s="1593"/>
      <c r="J30" s="224"/>
      <c r="K30" s="477"/>
      <c r="AF30" s="1548">
        <v>19</v>
      </c>
    </row>
    <row r="31" spans="1:32" ht="20" customHeight="1">
      <c r="D31" s="1555"/>
      <c r="E31" s="1592" t="s">
        <v>772</v>
      </c>
      <c r="F31" s="877" t="s">
        <v>773</v>
      </c>
      <c r="G31" s="1571" t="s">
        <v>585</v>
      </c>
      <c r="H31" s="1593"/>
      <c r="I31" s="1593"/>
      <c r="J31" s="224"/>
      <c r="K31" s="477"/>
      <c r="AF31" s="1548">
        <v>19</v>
      </c>
    </row>
    <row r="32" spans="1:32" s="2016" customFormat="1" ht="35.65" customHeight="1">
      <c r="A32" s="909"/>
      <c r="C32" s="1553"/>
      <c r="D32" s="1555"/>
      <c r="E32" s="1592" t="s">
        <v>774</v>
      </c>
      <c r="F32" s="877" t="s">
        <v>775</v>
      </c>
      <c r="G32" s="1561" t="s">
        <v>585</v>
      </c>
      <c r="H32" s="513">
        <f>SUM(H33:H34)</f>
        <v>0</v>
      </c>
      <c r="I32" s="513">
        <f>SUM(I33:I34)</f>
        <v>0</v>
      </c>
      <c r="J32" s="224" t="s">
        <v>776</v>
      </c>
      <c r="K32" s="477"/>
      <c r="L32" s="1553"/>
      <c r="M32" s="1553"/>
      <c r="R32" s="1553"/>
      <c r="U32" s="478"/>
      <c r="AA32" s="1549"/>
      <c r="AB32" s="1549"/>
      <c r="AC32" s="1549"/>
      <c r="AD32" s="1549"/>
      <c r="AE32" s="1549"/>
      <c r="AF32" s="1077">
        <v>34</v>
      </c>
    </row>
    <row r="33" spans="1:32" s="2017" customFormat="1" ht="1" customHeight="1">
      <c r="A33" s="1084"/>
      <c r="D33" s="482"/>
      <c r="E33" s="730" t="str">
        <f>E32&amp;".0"</f>
        <v>2.8.0</v>
      </c>
      <c r="F33" s="913"/>
      <c r="G33" s="485"/>
      <c r="H33" s="914"/>
      <c r="I33" s="914"/>
      <c r="J33" s="915"/>
      <c r="AF33" s="1553">
        <v>1</v>
      </c>
    </row>
    <row r="34" spans="1:32" s="2016" customFormat="1" ht="20" customHeight="1">
      <c r="A34" s="909"/>
      <c r="C34" s="1553"/>
      <c r="D34" s="1550"/>
      <c r="E34" s="504"/>
      <c r="F34" s="1583" t="s">
        <v>610</v>
      </c>
      <c r="G34" s="506"/>
      <c r="H34" s="507"/>
      <c r="I34" s="507"/>
      <c r="J34" s="236" t="s">
        <v>777</v>
      </c>
      <c r="K34" s="477"/>
      <c r="L34" s="1553"/>
      <c r="M34" s="1553"/>
      <c r="R34" s="1553"/>
      <c r="U34" s="478"/>
      <c r="AA34" s="1549"/>
      <c r="AB34" s="1549"/>
      <c r="AC34" s="1549"/>
      <c r="AD34" s="1549"/>
      <c r="AE34" s="1549"/>
      <c r="AF34" s="1077">
        <v>19</v>
      </c>
    </row>
    <row r="35" spans="1:32" ht="60" customHeight="1">
      <c r="D35" s="1555"/>
      <c r="E35" s="1592" t="s">
        <v>778</v>
      </c>
      <c r="F35" s="877" t="s">
        <v>779</v>
      </c>
      <c r="G35" s="1571" t="s">
        <v>585</v>
      </c>
      <c r="H35" s="1593"/>
      <c r="I35" s="1593"/>
      <c r="J35" s="224" t="s">
        <v>780</v>
      </c>
      <c r="K35" s="477"/>
      <c r="AF35" s="1548">
        <v>57</v>
      </c>
    </row>
    <row r="36" spans="1:32" s="2016" customFormat="1" ht="24" customHeight="1">
      <c r="A36" s="911" t="s">
        <v>611</v>
      </c>
      <c r="C36" s="1553"/>
      <c r="D36" s="1555"/>
      <c r="E36" s="1581" t="s">
        <v>91</v>
      </c>
      <c r="F36" s="641" t="s">
        <v>781</v>
      </c>
      <c r="G36" s="1560" t="s">
        <v>585</v>
      </c>
      <c r="H36" s="491"/>
      <c r="I36" s="491"/>
      <c r="J36" s="224" t="s">
        <v>782</v>
      </c>
      <c r="K36" s="477"/>
      <c r="L36" s="1553"/>
      <c r="M36" s="1553"/>
      <c r="R36" s="1553"/>
      <c r="U36" s="478"/>
      <c r="AA36" s="1549"/>
      <c r="AB36" s="1549"/>
      <c r="AC36" s="1549"/>
      <c r="AD36" s="1549"/>
      <c r="AE36" s="1549"/>
      <c r="AF36" s="1077">
        <v>23</v>
      </c>
    </row>
    <row r="37" spans="1:32" s="2016" customFormat="1" ht="35.65" customHeight="1">
      <c r="A37" s="911"/>
      <c r="C37" s="1553"/>
      <c r="D37" s="1555"/>
      <c r="E37" s="1581" t="s">
        <v>359</v>
      </c>
      <c r="F37" s="877" t="s">
        <v>783</v>
      </c>
      <c r="G37" s="1571"/>
      <c r="H37" s="491"/>
      <c r="I37" s="491"/>
      <c r="J37" s="224"/>
      <c r="K37" s="477"/>
      <c r="L37" s="1553"/>
      <c r="M37" s="1553"/>
      <c r="R37" s="1553"/>
      <c r="U37" s="478"/>
      <c r="AA37" s="1549"/>
      <c r="AB37" s="1549"/>
      <c r="AC37" s="1549"/>
      <c r="AD37" s="1549"/>
      <c r="AE37" s="1549"/>
      <c r="AF37" s="1077">
        <v>34</v>
      </c>
    </row>
    <row r="38" spans="1:32" s="2016" customFormat="1" ht="20" customHeight="1">
      <c r="A38" s="909"/>
      <c r="C38" s="1553"/>
      <c r="D38" s="509"/>
      <c r="E38" s="1581" t="s">
        <v>92</v>
      </c>
      <c r="F38" s="641" t="s">
        <v>784</v>
      </c>
      <c r="G38" s="1560" t="s">
        <v>585</v>
      </c>
      <c r="H38" s="491"/>
      <c r="I38" s="491"/>
      <c r="J38" s="224" t="s">
        <v>785</v>
      </c>
      <c r="K38" s="477"/>
      <c r="L38" s="1553"/>
      <c r="M38" s="1553"/>
      <c r="R38" s="1553"/>
      <c r="U38" s="478"/>
      <c r="AA38" s="1549"/>
      <c r="AB38" s="1549"/>
      <c r="AC38" s="1549"/>
      <c r="AD38" s="1549"/>
      <c r="AE38" s="1549"/>
      <c r="AF38" s="1077">
        <v>19</v>
      </c>
    </row>
    <row r="39" spans="1:32" s="2016" customFormat="1" ht="24" customHeight="1">
      <c r="A39" s="909"/>
      <c r="C39" s="1553"/>
      <c r="D39" s="509"/>
      <c r="E39" s="1581" t="s">
        <v>786</v>
      </c>
      <c r="F39" s="877" t="s">
        <v>787</v>
      </c>
      <c r="G39" s="1571" t="s">
        <v>585</v>
      </c>
      <c r="H39" s="491"/>
      <c r="I39" s="491"/>
      <c r="J39" s="224" t="s">
        <v>788</v>
      </c>
      <c r="K39" s="477"/>
      <c r="L39" s="1553"/>
      <c r="M39" s="1553"/>
      <c r="R39" s="1553"/>
      <c r="U39" s="478"/>
      <c r="AA39" s="1549"/>
      <c r="AB39" s="1549"/>
      <c r="AC39" s="1549"/>
      <c r="AD39" s="1549"/>
      <c r="AE39" s="1549"/>
      <c r="AF39" s="1077">
        <v>23</v>
      </c>
    </row>
    <row r="40" spans="1:32" s="2016" customFormat="1" ht="24" customHeight="1">
      <c r="A40" s="909"/>
      <c r="C40" s="1553"/>
      <c r="D40" s="1555"/>
      <c r="E40" s="1581" t="s">
        <v>789</v>
      </c>
      <c r="F40" s="1567" t="s">
        <v>790</v>
      </c>
      <c r="G40" s="1560" t="s">
        <v>585</v>
      </c>
      <c r="H40" s="491"/>
      <c r="I40" s="491"/>
      <c r="J40" s="224" t="s">
        <v>791</v>
      </c>
      <c r="K40" s="477"/>
      <c r="L40" s="1553"/>
      <c r="M40" s="1553"/>
      <c r="R40" s="1553"/>
      <c r="U40" s="478"/>
      <c r="AA40" s="1549"/>
      <c r="AB40" s="1549"/>
      <c r="AC40" s="1549"/>
      <c r="AD40" s="1549"/>
      <c r="AE40" s="1549"/>
      <c r="AF40" s="1077">
        <v>23</v>
      </c>
    </row>
    <row r="41" spans="1:32" s="2016" customFormat="1" ht="24" customHeight="1">
      <c r="A41" s="909"/>
      <c r="C41" s="1553"/>
      <c r="D41" s="1555"/>
      <c r="E41" s="1581" t="s">
        <v>792</v>
      </c>
      <c r="F41" s="1567" t="s">
        <v>793</v>
      </c>
      <c r="G41" s="1560" t="s">
        <v>585</v>
      </c>
      <c r="H41" s="491"/>
      <c r="I41" s="491"/>
      <c r="J41" s="224" t="s">
        <v>794</v>
      </c>
      <c r="K41" s="477"/>
      <c r="L41" s="1553"/>
      <c r="M41" s="1553"/>
      <c r="R41" s="1553"/>
      <c r="U41" s="478"/>
      <c r="AA41" s="1549"/>
      <c r="AB41" s="1549"/>
      <c r="AC41" s="1549"/>
      <c r="AD41" s="1549"/>
      <c r="AE41" s="1549"/>
      <c r="AF41" s="1077">
        <v>23</v>
      </c>
    </row>
    <row r="42" spans="1:32" s="2016" customFormat="1" ht="24" customHeight="1">
      <c r="A42" s="909"/>
      <c r="C42" s="1553"/>
      <c r="D42" s="1555"/>
      <c r="E42" s="1581" t="s">
        <v>795</v>
      </c>
      <c r="F42" s="1567" t="s">
        <v>796</v>
      </c>
      <c r="G42" s="1560" t="s">
        <v>585</v>
      </c>
      <c r="H42" s="491"/>
      <c r="I42" s="491"/>
      <c r="J42" s="224" t="s">
        <v>797</v>
      </c>
      <c r="K42" s="477"/>
      <c r="L42" s="1553"/>
      <c r="M42" s="1553"/>
      <c r="R42" s="1553"/>
      <c r="U42" s="478"/>
      <c r="AA42" s="1549"/>
      <c r="AB42" s="1549"/>
      <c r="AC42" s="1549"/>
      <c r="AD42" s="1549"/>
      <c r="AE42" s="1549"/>
      <c r="AF42" s="1077">
        <v>23</v>
      </c>
    </row>
    <row r="43" spans="1:32" s="2016" customFormat="1" ht="35.65" customHeight="1">
      <c r="A43" s="909"/>
      <c r="C43" s="1553" t="s">
        <v>621</v>
      </c>
      <c r="D43" s="1555"/>
      <c r="E43" s="1581" t="s">
        <v>125</v>
      </c>
      <c r="F43" s="641" t="s">
        <v>662</v>
      </c>
      <c r="G43" s="1563" t="s">
        <v>798</v>
      </c>
      <c r="H43" s="335"/>
      <c r="I43" s="335"/>
      <c r="J43" s="224" t="s">
        <v>799</v>
      </c>
      <c r="K43" s="477"/>
      <c r="L43" s="1553"/>
      <c r="M43" s="1553"/>
      <c r="R43" s="1553"/>
      <c r="U43" s="478"/>
      <c r="AA43" s="1549"/>
      <c r="AB43" s="1549"/>
      <c r="AC43" s="1549"/>
      <c r="AD43" s="1549"/>
      <c r="AE43" s="1549"/>
      <c r="AF43" s="1077">
        <v>34</v>
      </c>
    </row>
    <row r="44" spans="1:32" s="2016" customFormat="1" ht="35.65" customHeight="1">
      <c r="A44" s="909"/>
      <c r="C44" s="1553"/>
      <c r="D44" s="1555"/>
      <c r="E44" s="1581" t="s">
        <v>93</v>
      </c>
      <c r="F44" s="641" t="s">
        <v>800</v>
      </c>
      <c r="G44" s="1560" t="s">
        <v>801</v>
      </c>
      <c r="H44" s="479"/>
      <c r="I44" s="479"/>
      <c r="J44" s="224" t="s">
        <v>802</v>
      </c>
      <c r="K44" s="477"/>
      <c r="L44" s="1553"/>
      <c r="M44" s="1553"/>
      <c r="R44" s="1553"/>
      <c r="U44" s="478"/>
      <c r="AA44" s="1549"/>
      <c r="AB44" s="1549"/>
      <c r="AC44" s="1549"/>
      <c r="AD44" s="1549"/>
      <c r="AE44" s="1549"/>
      <c r="AF44" s="1077">
        <v>34</v>
      </c>
    </row>
    <row r="45" spans="1:32" s="2016" customFormat="1" ht="24" customHeight="1">
      <c r="A45" s="909"/>
      <c r="C45" s="1553"/>
      <c r="D45" s="1555"/>
      <c r="E45" s="1581" t="s">
        <v>94</v>
      </c>
      <c r="F45" s="641" t="s">
        <v>803</v>
      </c>
      <c r="G45" s="1571" t="s">
        <v>804</v>
      </c>
      <c r="H45" s="479"/>
      <c r="I45" s="479"/>
      <c r="J45" s="224" t="s">
        <v>805</v>
      </c>
      <c r="K45" s="477"/>
      <c r="L45" s="1553"/>
      <c r="M45" s="1553"/>
      <c r="R45" s="1553"/>
      <c r="U45" s="478"/>
      <c r="AA45" s="1549"/>
      <c r="AB45" s="1549"/>
      <c r="AC45" s="1549"/>
      <c r="AD45" s="1549"/>
      <c r="AE45" s="1549"/>
      <c r="AF45" s="1077">
        <v>23</v>
      </c>
    </row>
    <row r="46" spans="1:32" s="2016" customFormat="1" ht="20" customHeight="1">
      <c r="A46" s="909"/>
      <c r="C46" s="1553"/>
      <c r="D46" s="1555"/>
      <c r="E46" s="1581" t="s">
        <v>126</v>
      </c>
      <c r="F46" s="641" t="s">
        <v>806</v>
      </c>
      <c r="G46" s="1560" t="s">
        <v>623</v>
      </c>
      <c r="H46" s="511"/>
      <c r="I46" s="511"/>
      <c r="J46" s="224"/>
      <c r="K46" s="477"/>
      <c r="L46" s="1553"/>
      <c r="M46" s="1553"/>
      <c r="R46" s="1553"/>
      <c r="U46" s="478"/>
      <c r="AA46" s="1549"/>
      <c r="AB46" s="1549"/>
      <c r="AC46" s="1549"/>
      <c r="AD46" s="1549"/>
      <c r="AE46" s="1549"/>
      <c r="AF46" s="1077">
        <v>19</v>
      </c>
    </row>
    <row r="47" spans="1:32" ht="11.5" customHeight="1">
      <c r="D47" s="1555"/>
      <c r="AF47" s="1548">
        <v>11</v>
      </c>
    </row>
    <row r="48" spans="1:32" s="2212" customFormat="1" ht="11.5" customHeight="1">
      <c r="A48" s="909"/>
      <c r="B48" s="1553"/>
      <c r="C48" s="1553"/>
      <c r="D48" s="285"/>
      <c r="K48" s="1077"/>
      <c r="L48" s="1553"/>
      <c r="M48" s="1553"/>
      <c r="N48" s="1077"/>
      <c r="O48" s="1077"/>
      <c r="P48" s="1077"/>
      <c r="Q48" s="1077"/>
      <c r="R48" s="1553"/>
      <c r="S48" s="1077"/>
      <c r="T48" s="1077"/>
      <c r="U48" s="478"/>
      <c r="V48" s="1077"/>
      <c r="W48" s="1077"/>
      <c r="X48" s="1077"/>
      <c r="Y48" s="1077"/>
      <c r="Z48" s="1077"/>
      <c r="AA48" s="1549"/>
      <c r="AB48" s="500"/>
      <c r="AC48" s="500"/>
      <c r="AD48" s="500"/>
      <c r="AE48" s="500"/>
      <c r="AF48" s="1558">
        <v>11</v>
      </c>
    </row>
    <row r="49" spans="1:32" s="2212" customFormat="1" ht="11.5" customHeight="1">
      <c r="A49" s="909"/>
      <c r="B49" s="1553"/>
      <c r="C49" s="1553"/>
      <c r="D49" s="285"/>
      <c r="K49" s="1077"/>
      <c r="L49" s="1553"/>
      <c r="M49" s="1553"/>
      <c r="N49" s="1077"/>
      <c r="O49" s="1077"/>
      <c r="P49" s="1077"/>
      <c r="Q49" s="1077"/>
      <c r="R49" s="1553"/>
      <c r="S49" s="1077"/>
      <c r="T49" s="1077"/>
      <c r="U49" s="478"/>
      <c r="V49" s="1077"/>
      <c r="W49" s="1077"/>
      <c r="X49" s="1077"/>
      <c r="Y49" s="1077"/>
      <c r="Z49" s="1077"/>
      <c r="AA49" s="1549"/>
      <c r="AB49" s="500"/>
      <c r="AC49" s="500"/>
      <c r="AD49" s="500"/>
      <c r="AE49" s="500"/>
      <c r="AF49" s="1558">
        <v>11</v>
      </c>
    </row>
    <row r="50" spans="1:32" s="2212" customFormat="1" ht="11.5" customHeight="1">
      <c r="A50" s="909"/>
      <c r="B50" s="1553"/>
      <c r="C50" s="1553"/>
      <c r="D50" s="285"/>
      <c r="H50" s="500"/>
      <c r="I50" s="500"/>
      <c r="K50" s="1077"/>
      <c r="L50" s="1553"/>
      <c r="M50" s="1553"/>
      <c r="N50" s="1077"/>
      <c r="O50" s="1077"/>
      <c r="P50" s="1077"/>
      <c r="Q50" s="1077"/>
      <c r="R50" s="1553"/>
      <c r="S50" s="1077"/>
      <c r="T50" s="1077"/>
      <c r="U50" s="478"/>
      <c r="V50" s="1077"/>
      <c r="W50" s="1077"/>
      <c r="X50" s="1077"/>
      <c r="Y50" s="1077"/>
      <c r="Z50" s="1077"/>
      <c r="AA50" s="1549"/>
      <c r="AB50" s="500"/>
      <c r="AC50" s="500"/>
      <c r="AD50" s="500"/>
      <c r="AE50" s="500"/>
      <c r="AF50" s="1558">
        <v>11</v>
      </c>
    </row>
    <row r="51" spans="1:32" s="2212" customFormat="1" ht="11.5" customHeight="1">
      <c r="A51" s="909"/>
      <c r="B51" s="1553"/>
      <c r="C51" s="1553"/>
      <c r="D51" s="285"/>
      <c r="K51" s="1077"/>
      <c r="L51" s="1553"/>
      <c r="M51" s="1553"/>
      <c r="N51" s="1077"/>
      <c r="O51" s="1077"/>
      <c r="P51" s="1077"/>
      <c r="Q51" s="1077"/>
      <c r="R51" s="1553"/>
      <c r="S51" s="1077"/>
      <c r="T51" s="1077"/>
      <c r="U51" s="478"/>
      <c r="V51" s="1077"/>
      <c r="W51" s="1077"/>
      <c r="X51" s="1077"/>
      <c r="Y51" s="1077"/>
      <c r="Z51" s="1077"/>
      <c r="AA51" s="1549"/>
      <c r="AB51" s="500"/>
      <c r="AC51" s="500"/>
      <c r="AD51" s="500"/>
      <c r="AE51" s="500"/>
      <c r="AF51" s="1558">
        <v>11</v>
      </c>
    </row>
    <row r="52" spans="1:32" s="2212" customFormat="1" ht="11.5" customHeight="1">
      <c r="A52" s="909"/>
      <c r="B52" s="1553"/>
      <c r="C52" s="1553"/>
      <c r="D52" s="285"/>
      <c r="K52" s="1077"/>
      <c r="L52" s="1553"/>
      <c r="M52" s="1553"/>
      <c r="N52" s="1077"/>
      <c r="O52" s="1077"/>
      <c r="P52" s="1077"/>
      <c r="Q52" s="1077"/>
      <c r="R52" s="1553"/>
      <c r="S52" s="1077"/>
      <c r="T52" s="1077"/>
      <c r="U52" s="478"/>
      <c r="V52" s="1077"/>
      <c r="W52" s="1077"/>
      <c r="X52" s="1077"/>
      <c r="Y52" s="1077"/>
      <c r="Z52" s="1077"/>
      <c r="AA52" s="1549"/>
      <c r="AB52" s="500"/>
      <c r="AC52" s="500"/>
      <c r="AD52" s="500"/>
      <c r="AE52" s="500"/>
      <c r="AF52" s="1558">
        <v>11</v>
      </c>
    </row>
    <row r="53" spans="1:32" s="2212" customFormat="1" ht="11.5" customHeight="1">
      <c r="A53" s="909"/>
      <c r="B53" s="1553"/>
      <c r="C53" s="1553"/>
      <c r="D53" s="285"/>
      <c r="K53" s="1077"/>
      <c r="L53" s="1553"/>
      <c r="M53" s="1553"/>
      <c r="N53" s="1077"/>
      <c r="O53" s="1077"/>
      <c r="P53" s="1077"/>
      <c r="Q53" s="1077"/>
      <c r="R53" s="1553"/>
      <c r="S53" s="1077"/>
      <c r="T53" s="1077"/>
      <c r="U53" s="478"/>
      <c r="V53" s="1077"/>
      <c r="W53" s="1077"/>
      <c r="X53" s="1077"/>
      <c r="Y53" s="1077"/>
      <c r="Z53" s="1077"/>
      <c r="AA53" s="1549"/>
      <c r="AB53" s="500"/>
      <c r="AC53" s="500"/>
      <c r="AD53" s="500"/>
      <c r="AE53" s="500"/>
      <c r="AF53" s="1558">
        <v>11</v>
      </c>
    </row>
    <row r="54" spans="1:32" s="2212" customFormat="1" ht="11.5" customHeight="1">
      <c r="A54" s="909"/>
      <c r="B54" s="1553"/>
      <c r="C54" s="1553"/>
      <c r="D54" s="285"/>
      <c r="K54" s="1077"/>
      <c r="L54" s="1553"/>
      <c r="M54" s="1553"/>
      <c r="N54" s="1077"/>
      <c r="O54" s="1077"/>
      <c r="P54" s="1077"/>
      <c r="Q54" s="1077"/>
      <c r="R54" s="1553"/>
      <c r="S54" s="1077"/>
      <c r="T54" s="1077"/>
      <c r="U54" s="478"/>
      <c r="V54" s="1077"/>
      <c r="W54" s="1077"/>
      <c r="X54" s="1077"/>
      <c r="Y54" s="1077"/>
      <c r="Z54" s="1077"/>
      <c r="AA54" s="1549"/>
      <c r="AB54" s="500"/>
      <c r="AC54" s="500"/>
      <c r="AD54" s="500"/>
      <c r="AE54" s="500"/>
      <c r="AF54" s="1558">
        <v>11</v>
      </c>
    </row>
    <row r="55" spans="1:32" s="2212" customFormat="1" ht="11.5" customHeight="1">
      <c r="A55" s="909"/>
      <c r="B55" s="1553"/>
      <c r="C55" s="1553"/>
      <c r="D55" s="285"/>
      <c r="K55" s="1077"/>
      <c r="L55" s="1553"/>
      <c r="M55" s="1553"/>
      <c r="N55" s="1077"/>
      <c r="O55" s="1077"/>
      <c r="P55" s="1077"/>
      <c r="Q55" s="1077"/>
      <c r="R55" s="1553"/>
      <c r="S55" s="1077"/>
      <c r="T55" s="1077"/>
      <c r="U55" s="478"/>
      <c r="V55" s="1077"/>
      <c r="W55" s="1077"/>
      <c r="X55" s="1077"/>
      <c r="Y55" s="1077"/>
      <c r="Z55" s="1077"/>
      <c r="AA55" s="1549"/>
      <c r="AB55" s="500"/>
      <c r="AC55" s="500"/>
      <c r="AD55" s="500"/>
      <c r="AE55" s="500"/>
      <c r="AF55" s="1558">
        <v>11</v>
      </c>
    </row>
    <row r="56" spans="1:32" s="2212" customFormat="1" ht="11.5" customHeight="1">
      <c r="A56" s="909"/>
      <c r="B56" s="1553"/>
      <c r="C56" s="1553"/>
      <c r="D56" s="285"/>
      <c r="K56" s="1077"/>
      <c r="L56" s="1553"/>
      <c r="M56" s="1553"/>
      <c r="N56" s="1077"/>
      <c r="O56" s="1077"/>
      <c r="P56" s="1077"/>
      <c r="Q56" s="1077"/>
      <c r="R56" s="1553"/>
      <c r="S56" s="1077"/>
      <c r="T56" s="1077"/>
      <c r="U56" s="478"/>
      <c r="V56" s="1077"/>
      <c r="W56" s="1077"/>
      <c r="X56" s="1077"/>
      <c r="Y56" s="1077"/>
      <c r="Z56" s="1077"/>
      <c r="AA56" s="1549"/>
      <c r="AB56" s="500"/>
      <c r="AC56" s="500"/>
      <c r="AD56" s="500"/>
      <c r="AE56" s="500"/>
      <c r="AF56" s="1558">
        <v>11</v>
      </c>
    </row>
    <row r="57" spans="1:32" s="2212" customFormat="1" ht="11.5" customHeight="1">
      <c r="A57" s="909"/>
      <c r="B57" s="1553"/>
      <c r="C57" s="1553"/>
      <c r="D57" s="285"/>
      <c r="K57" s="1077"/>
      <c r="L57" s="1553"/>
      <c r="M57" s="1553"/>
      <c r="N57" s="1077"/>
      <c r="O57" s="1077"/>
      <c r="P57" s="1077"/>
      <c r="Q57" s="1077"/>
      <c r="R57" s="1553"/>
      <c r="S57" s="1077"/>
      <c r="T57" s="1077"/>
      <c r="U57" s="478"/>
      <c r="V57" s="1077"/>
      <c r="W57" s="1077"/>
      <c r="X57" s="1077"/>
      <c r="Y57" s="1077"/>
      <c r="Z57" s="1077"/>
      <c r="AA57" s="1549"/>
      <c r="AB57" s="500"/>
      <c r="AC57" s="500"/>
      <c r="AD57" s="500"/>
      <c r="AE57" s="500"/>
      <c r="AF57" s="1558">
        <v>11</v>
      </c>
    </row>
    <row r="58" spans="1:32" s="2212" customFormat="1" ht="11.5" customHeight="1">
      <c r="A58" s="909"/>
      <c r="B58" s="1553"/>
      <c r="C58" s="1553"/>
      <c r="D58" s="285"/>
      <c r="K58" s="1077"/>
      <c r="L58" s="1553"/>
      <c r="M58" s="1553"/>
      <c r="N58" s="1077"/>
      <c r="O58" s="1077"/>
      <c r="P58" s="1077"/>
      <c r="Q58" s="1077"/>
      <c r="R58" s="1553"/>
      <c r="S58" s="1077"/>
      <c r="T58" s="1077"/>
      <c r="U58" s="478"/>
      <c r="V58" s="1077"/>
      <c r="W58" s="1077"/>
      <c r="X58" s="1077"/>
      <c r="Y58" s="1077"/>
      <c r="Z58" s="1077"/>
      <c r="AA58" s="1549"/>
      <c r="AB58" s="500"/>
      <c r="AC58" s="500"/>
      <c r="AD58" s="500"/>
      <c r="AE58" s="500"/>
      <c r="AF58" s="1558">
        <v>11</v>
      </c>
    </row>
    <row r="59" spans="1:32" s="2212" customFormat="1" ht="11.5" customHeight="1">
      <c r="A59" s="909"/>
      <c r="B59" s="1553"/>
      <c r="C59" s="1553"/>
      <c r="D59" s="285"/>
      <c r="K59" s="1077"/>
      <c r="L59" s="1553"/>
      <c r="M59" s="1553"/>
      <c r="N59" s="1077"/>
      <c r="O59" s="1077"/>
      <c r="P59" s="1077"/>
      <c r="Q59" s="1077"/>
      <c r="R59" s="1553"/>
      <c r="S59" s="1077"/>
      <c r="T59" s="1077"/>
      <c r="U59" s="478"/>
      <c r="V59" s="1077"/>
      <c r="W59" s="1077"/>
      <c r="X59" s="1077"/>
      <c r="Y59" s="1077"/>
      <c r="Z59" s="1077"/>
      <c r="AA59" s="1549"/>
      <c r="AB59" s="500"/>
      <c r="AC59" s="500"/>
      <c r="AD59" s="500"/>
      <c r="AE59" s="500"/>
      <c r="AF59" s="1558">
        <v>11</v>
      </c>
    </row>
    <row r="60" spans="1:32" s="2212" customFormat="1" ht="11.5" customHeight="1">
      <c r="A60" s="909"/>
      <c r="B60" s="1553"/>
      <c r="C60" s="1553"/>
      <c r="D60" s="285"/>
      <c r="K60" s="1077"/>
      <c r="L60" s="1553"/>
      <c r="M60" s="1553"/>
      <c r="N60" s="1077"/>
      <c r="O60" s="1077"/>
      <c r="P60" s="1077"/>
      <c r="Q60" s="1077"/>
      <c r="R60" s="1553"/>
      <c r="S60" s="1077"/>
      <c r="T60" s="1077"/>
      <c r="U60" s="478"/>
      <c r="V60" s="1077"/>
      <c r="W60" s="1077"/>
      <c r="X60" s="1077"/>
      <c r="Y60" s="1077"/>
      <c r="Z60" s="1077"/>
      <c r="AA60" s="1549"/>
      <c r="AB60" s="500"/>
      <c r="AC60" s="500"/>
      <c r="AD60" s="500"/>
      <c r="AE60" s="500"/>
      <c r="AF60" s="1558">
        <v>11</v>
      </c>
    </row>
    <row r="61" spans="1:32" s="2212" customFormat="1" ht="11.5" customHeight="1">
      <c r="A61" s="909"/>
      <c r="B61" s="1553"/>
      <c r="C61" s="1553"/>
      <c r="D61" s="285"/>
      <c r="K61" s="1077"/>
      <c r="L61" s="1553"/>
      <c r="M61" s="1553"/>
      <c r="N61" s="1077"/>
      <c r="O61" s="1077"/>
      <c r="P61" s="1077"/>
      <c r="Q61" s="1077"/>
      <c r="R61" s="1553"/>
      <c r="S61" s="1077"/>
      <c r="T61" s="1077"/>
      <c r="U61" s="478"/>
      <c r="V61" s="1077"/>
      <c r="W61" s="1077"/>
      <c r="X61" s="1077"/>
      <c r="Y61" s="1077"/>
      <c r="Z61" s="1077"/>
      <c r="AA61" s="1549"/>
      <c r="AB61" s="500"/>
      <c r="AC61" s="500"/>
      <c r="AD61" s="500"/>
      <c r="AE61" s="500"/>
      <c r="AF61" s="1558">
        <v>11</v>
      </c>
    </row>
    <row r="62" spans="1:32" s="2212" customFormat="1" ht="11.5" customHeight="1">
      <c r="A62" s="909"/>
      <c r="B62" s="1553"/>
      <c r="C62" s="1553"/>
      <c r="D62" s="285"/>
      <c r="K62" s="1077"/>
      <c r="L62" s="1553"/>
      <c r="M62" s="1553"/>
      <c r="N62" s="1077"/>
      <c r="O62" s="1077"/>
      <c r="P62" s="1077"/>
      <c r="Q62" s="1077"/>
      <c r="R62" s="1553"/>
      <c r="S62" s="1077"/>
      <c r="T62" s="1077"/>
      <c r="U62" s="478"/>
      <c r="V62" s="1077"/>
      <c r="W62" s="1077"/>
      <c r="X62" s="1077"/>
      <c r="Y62" s="1077"/>
      <c r="Z62" s="1077"/>
      <c r="AA62" s="1549"/>
      <c r="AB62" s="500"/>
      <c r="AC62" s="500"/>
      <c r="AD62" s="500"/>
      <c r="AE62" s="500"/>
      <c r="AF62" s="1558">
        <v>11</v>
      </c>
    </row>
    <row r="63" spans="1:32" s="2212" customFormat="1" ht="11.5" customHeight="1">
      <c r="A63" s="909"/>
      <c r="B63" s="1553"/>
      <c r="C63" s="1553"/>
      <c r="D63" s="285"/>
      <c r="K63" s="1077"/>
      <c r="L63" s="1553"/>
      <c r="M63" s="1553"/>
      <c r="N63" s="1077"/>
      <c r="O63" s="1077"/>
      <c r="P63" s="1077"/>
      <c r="Q63" s="1077"/>
      <c r="R63" s="1553"/>
      <c r="S63" s="1077"/>
      <c r="T63" s="1077"/>
      <c r="U63" s="478"/>
      <c r="V63" s="1077"/>
      <c r="W63" s="1077"/>
      <c r="X63" s="1077"/>
      <c r="Y63" s="1077"/>
      <c r="Z63" s="1077"/>
      <c r="AA63" s="1549"/>
      <c r="AB63" s="500"/>
      <c r="AC63" s="500"/>
      <c r="AD63" s="500"/>
      <c r="AE63" s="500"/>
      <c r="AF63" s="1558">
        <v>11</v>
      </c>
    </row>
    <row r="64" spans="1:32" s="2212" customFormat="1" ht="11.5" customHeight="1">
      <c r="A64" s="909"/>
      <c r="B64" s="1553"/>
      <c r="C64" s="1553"/>
      <c r="D64" s="285"/>
      <c r="K64" s="1077"/>
      <c r="L64" s="1553"/>
      <c r="M64" s="1553"/>
      <c r="N64" s="1077"/>
      <c r="O64" s="1077"/>
      <c r="P64" s="1077"/>
      <c r="Q64" s="1077"/>
      <c r="R64" s="1553"/>
      <c r="S64" s="1077"/>
      <c r="T64" s="1077"/>
      <c r="U64" s="478"/>
      <c r="V64" s="1077"/>
      <c r="W64" s="1077"/>
      <c r="X64" s="1077"/>
      <c r="Y64" s="1077"/>
      <c r="Z64" s="1077"/>
      <c r="AA64" s="1549"/>
      <c r="AB64" s="500"/>
      <c r="AC64" s="500"/>
      <c r="AD64" s="500"/>
      <c r="AE64" s="500"/>
      <c r="AF64" s="1558">
        <v>11</v>
      </c>
    </row>
    <row r="65" spans="1:32" s="2212" customFormat="1" ht="11.5" customHeight="1">
      <c r="A65" s="909"/>
      <c r="B65" s="1553"/>
      <c r="C65" s="1553"/>
      <c r="D65" s="285"/>
      <c r="K65" s="1077"/>
      <c r="L65" s="1553"/>
      <c r="M65" s="1553"/>
      <c r="N65" s="1077"/>
      <c r="O65" s="1077"/>
      <c r="P65" s="1077"/>
      <c r="Q65" s="1077"/>
      <c r="R65" s="1553"/>
      <c r="S65" s="1077"/>
      <c r="T65" s="1077"/>
      <c r="U65" s="478"/>
      <c r="V65" s="1077"/>
      <c r="W65" s="1077"/>
      <c r="X65" s="1077"/>
      <c r="Y65" s="1077"/>
      <c r="Z65" s="1077"/>
      <c r="AA65" s="1549"/>
      <c r="AB65" s="500"/>
      <c r="AC65" s="500"/>
      <c r="AD65" s="500"/>
      <c r="AE65" s="500"/>
      <c r="AF65" s="1558">
        <v>11</v>
      </c>
    </row>
    <row r="66" spans="1:32" s="2212" customFormat="1" ht="11.5" customHeight="1">
      <c r="A66" s="909"/>
      <c r="B66" s="1553"/>
      <c r="C66" s="1553"/>
      <c r="D66" s="285"/>
      <c r="K66" s="1077"/>
      <c r="L66" s="1553"/>
      <c r="M66" s="1553"/>
      <c r="N66" s="1077"/>
      <c r="O66" s="1077"/>
      <c r="P66" s="1077"/>
      <c r="Q66" s="1077"/>
      <c r="R66" s="1553"/>
      <c r="S66" s="1077"/>
      <c r="T66" s="1077"/>
      <c r="U66" s="478"/>
      <c r="V66" s="1077"/>
      <c r="W66" s="1077"/>
      <c r="X66" s="1077"/>
      <c r="Y66" s="1077"/>
      <c r="Z66" s="1077"/>
      <c r="AA66" s="1549"/>
      <c r="AB66" s="500"/>
      <c r="AC66" s="500"/>
      <c r="AD66" s="500"/>
      <c r="AE66" s="500"/>
      <c r="AF66" s="1558">
        <v>11</v>
      </c>
    </row>
    <row r="67" spans="1:32" s="2212" customFormat="1" ht="11.5" customHeight="1">
      <c r="A67" s="909"/>
      <c r="B67" s="1553"/>
      <c r="C67" s="1553"/>
      <c r="D67" s="285"/>
      <c r="K67" s="1077"/>
      <c r="L67" s="1553"/>
      <c r="M67" s="1553"/>
      <c r="N67" s="1077"/>
      <c r="O67" s="1077"/>
      <c r="P67" s="1077"/>
      <c r="Q67" s="1077"/>
      <c r="R67" s="1553"/>
      <c r="S67" s="1077"/>
      <c r="T67" s="1077"/>
      <c r="U67" s="478"/>
      <c r="V67" s="1077"/>
      <c r="W67" s="1077"/>
      <c r="X67" s="1077"/>
      <c r="Y67" s="1077"/>
      <c r="Z67" s="1077"/>
      <c r="AA67" s="1549"/>
      <c r="AB67" s="500"/>
      <c r="AC67" s="500"/>
      <c r="AD67" s="500"/>
      <c r="AE67" s="500"/>
      <c r="AF67" s="1558">
        <v>11</v>
      </c>
    </row>
    <row r="68" spans="1:32" s="2212" customFormat="1" ht="11.5" customHeight="1">
      <c r="A68" s="909"/>
      <c r="B68" s="1553"/>
      <c r="C68" s="1553"/>
      <c r="D68" s="285"/>
      <c r="K68" s="1077"/>
      <c r="L68" s="1553"/>
      <c r="M68" s="1553"/>
      <c r="N68" s="1077"/>
      <c r="O68" s="1077"/>
      <c r="P68" s="1077"/>
      <c r="Q68" s="1077"/>
      <c r="R68" s="1553"/>
      <c r="S68" s="1077"/>
      <c r="T68" s="1077"/>
      <c r="U68" s="478"/>
      <c r="V68" s="1077"/>
      <c r="W68" s="1077"/>
      <c r="X68" s="1077"/>
      <c r="Y68" s="1077"/>
      <c r="Z68" s="1077"/>
      <c r="AA68" s="1549"/>
      <c r="AB68" s="500"/>
      <c r="AC68" s="500"/>
      <c r="AD68" s="500"/>
      <c r="AE68" s="500"/>
      <c r="AF68" s="1558">
        <v>11</v>
      </c>
    </row>
    <row r="69" spans="1:32" s="2212" customFormat="1" ht="11.5" customHeight="1">
      <c r="A69" s="909"/>
      <c r="B69" s="1553"/>
      <c r="C69" s="1553"/>
      <c r="D69" s="285"/>
      <c r="K69" s="1077"/>
      <c r="L69" s="1553"/>
      <c r="M69" s="1553"/>
      <c r="N69" s="1077"/>
      <c r="O69" s="1077"/>
      <c r="P69" s="1077"/>
      <c r="Q69" s="1077"/>
      <c r="R69" s="1553"/>
      <c r="S69" s="1077"/>
      <c r="T69" s="1077"/>
      <c r="U69" s="478"/>
      <c r="V69" s="1077"/>
      <c r="W69" s="1077"/>
      <c r="X69" s="1077"/>
      <c r="Y69" s="1077"/>
      <c r="Z69" s="1077"/>
      <c r="AA69" s="1549"/>
      <c r="AB69" s="500"/>
      <c r="AC69" s="500"/>
      <c r="AD69" s="500"/>
      <c r="AE69" s="500"/>
      <c r="AF69" s="1558">
        <v>11</v>
      </c>
    </row>
    <row r="70" spans="1:32" s="2212" customFormat="1" ht="11.5" customHeight="1">
      <c r="A70" s="909"/>
      <c r="B70" s="1553"/>
      <c r="C70" s="1553"/>
      <c r="D70" s="285"/>
      <c r="K70" s="1077"/>
      <c r="L70" s="1553"/>
      <c r="M70" s="1553"/>
      <c r="N70" s="1077"/>
      <c r="O70" s="1077"/>
      <c r="P70" s="1077"/>
      <c r="Q70" s="1077"/>
      <c r="R70" s="1553"/>
      <c r="S70" s="1077"/>
      <c r="T70" s="1077"/>
      <c r="U70" s="478"/>
      <c r="V70" s="1077"/>
      <c r="W70" s="1077"/>
      <c r="X70" s="1077"/>
      <c r="Y70" s="1077"/>
      <c r="Z70" s="1077"/>
      <c r="AA70" s="1549"/>
      <c r="AB70" s="500"/>
      <c r="AC70" s="500"/>
      <c r="AD70" s="500"/>
      <c r="AE70" s="500"/>
      <c r="AF70" s="1558">
        <v>11</v>
      </c>
    </row>
    <row r="71" spans="1:32" s="2212" customFormat="1" ht="11.5" customHeight="1">
      <c r="A71" s="909"/>
      <c r="B71" s="1553"/>
      <c r="C71" s="1553"/>
      <c r="D71" s="285"/>
      <c r="K71" s="1077"/>
      <c r="L71" s="1553"/>
      <c r="M71" s="1553"/>
      <c r="N71" s="1077"/>
      <c r="O71" s="1077"/>
      <c r="P71" s="1077"/>
      <c r="Q71" s="1077"/>
      <c r="R71" s="1553"/>
      <c r="S71" s="1077"/>
      <c r="T71" s="1077"/>
      <c r="U71" s="478"/>
      <c r="V71" s="1077"/>
      <c r="W71" s="1077"/>
      <c r="X71" s="1077"/>
      <c r="Y71" s="1077"/>
      <c r="Z71" s="1077"/>
      <c r="AA71" s="1549"/>
      <c r="AB71" s="500"/>
      <c r="AC71" s="500"/>
      <c r="AD71" s="500"/>
      <c r="AE71" s="500"/>
      <c r="AF71" s="1558">
        <v>11</v>
      </c>
    </row>
    <row r="72" spans="1:32" s="2212" customFormat="1" ht="11.5" customHeight="1">
      <c r="A72" s="909"/>
      <c r="B72" s="1553"/>
      <c r="C72" s="1553"/>
      <c r="D72" s="285"/>
      <c r="K72" s="1077"/>
      <c r="L72" s="1553"/>
      <c r="M72" s="1553"/>
      <c r="N72" s="1077"/>
      <c r="O72" s="1077"/>
      <c r="P72" s="1077"/>
      <c r="Q72" s="1077"/>
      <c r="R72" s="1553"/>
      <c r="S72" s="1077"/>
      <c r="T72" s="1077"/>
      <c r="U72" s="478"/>
      <c r="V72" s="1077"/>
      <c r="W72" s="1077"/>
      <c r="X72" s="1077"/>
      <c r="Y72" s="1077"/>
      <c r="Z72" s="1077"/>
      <c r="AA72" s="1549"/>
      <c r="AB72" s="500"/>
      <c r="AC72" s="500"/>
      <c r="AD72" s="500"/>
      <c r="AE72" s="500"/>
      <c r="AF72" s="1558">
        <v>11</v>
      </c>
    </row>
    <row r="73" spans="1:32" s="2212" customFormat="1" ht="11.5" customHeight="1">
      <c r="A73" s="909"/>
      <c r="B73" s="1553"/>
      <c r="C73" s="1553"/>
      <c r="D73" s="285"/>
      <c r="K73" s="1077"/>
      <c r="L73" s="1553"/>
      <c r="M73" s="1553"/>
      <c r="N73" s="1077"/>
      <c r="O73" s="1077"/>
      <c r="P73" s="1077"/>
      <c r="Q73" s="1077"/>
      <c r="R73" s="1553"/>
      <c r="S73" s="1077"/>
      <c r="T73" s="1077"/>
      <c r="U73" s="478"/>
      <c r="V73" s="1077"/>
      <c r="W73" s="1077"/>
      <c r="X73" s="1077"/>
      <c r="Y73" s="1077"/>
      <c r="Z73" s="1077"/>
      <c r="AA73" s="1549"/>
      <c r="AB73" s="500"/>
      <c r="AC73" s="500"/>
      <c r="AD73" s="500"/>
      <c r="AE73" s="500"/>
      <c r="AF73" s="1558">
        <v>11</v>
      </c>
    </row>
    <row r="74" spans="1:32" s="2212" customFormat="1" ht="11.5" customHeight="1">
      <c r="A74" s="909"/>
      <c r="B74" s="1553"/>
      <c r="C74" s="1553"/>
      <c r="D74" s="285"/>
      <c r="K74" s="1077"/>
      <c r="L74" s="1553"/>
      <c r="M74" s="1553"/>
      <c r="N74" s="1077"/>
      <c r="O74" s="1077"/>
      <c r="P74" s="1077"/>
      <c r="Q74" s="1077"/>
      <c r="R74" s="1553"/>
      <c r="S74" s="1077"/>
      <c r="T74" s="1077"/>
      <c r="U74" s="478"/>
      <c r="V74" s="1077"/>
      <c r="W74" s="1077"/>
      <c r="X74" s="1077"/>
      <c r="Y74" s="1077"/>
      <c r="Z74" s="1077"/>
      <c r="AA74" s="1549"/>
      <c r="AB74" s="500"/>
      <c r="AC74" s="500"/>
      <c r="AD74" s="500"/>
      <c r="AE74" s="500"/>
      <c r="AF74" s="1558">
        <v>11</v>
      </c>
    </row>
    <row r="75" spans="1:32" s="2212" customFormat="1" ht="11.5" customHeight="1">
      <c r="A75" s="909"/>
      <c r="B75" s="1553"/>
      <c r="C75" s="1553"/>
      <c r="D75" s="285"/>
      <c r="K75" s="1077"/>
      <c r="L75" s="1553"/>
      <c r="M75" s="1553"/>
      <c r="N75" s="1077"/>
      <c r="O75" s="1077"/>
      <c r="P75" s="1077"/>
      <c r="Q75" s="1077"/>
      <c r="R75" s="1553"/>
      <c r="S75" s="1077"/>
      <c r="T75" s="1077"/>
      <c r="U75" s="478"/>
      <c r="V75" s="1077"/>
      <c r="W75" s="1077"/>
      <c r="X75" s="1077"/>
      <c r="Y75" s="1077"/>
      <c r="Z75" s="1077"/>
      <c r="AA75" s="1549"/>
      <c r="AB75" s="500"/>
      <c r="AC75" s="500"/>
      <c r="AD75" s="500"/>
      <c r="AE75" s="500"/>
      <c r="AF75" s="1558">
        <v>11</v>
      </c>
    </row>
    <row r="76" spans="1:32" s="2212" customFormat="1" ht="11.5" customHeight="1">
      <c r="A76" s="909"/>
      <c r="B76" s="1553"/>
      <c r="C76" s="1553"/>
      <c r="D76" s="285"/>
      <c r="K76" s="1077"/>
      <c r="L76" s="1553"/>
      <c r="M76" s="1553"/>
      <c r="N76" s="1077"/>
      <c r="O76" s="1077"/>
      <c r="P76" s="1077"/>
      <c r="Q76" s="1077"/>
      <c r="R76" s="1553"/>
      <c r="S76" s="1077"/>
      <c r="T76" s="1077"/>
      <c r="U76" s="478"/>
      <c r="V76" s="1077"/>
      <c r="W76" s="1077"/>
      <c r="X76" s="1077"/>
      <c r="Y76" s="1077"/>
      <c r="Z76" s="1077"/>
      <c r="AA76" s="1549"/>
      <c r="AB76" s="500"/>
      <c r="AC76" s="500"/>
      <c r="AD76" s="500"/>
      <c r="AE76" s="500"/>
      <c r="AF76" s="1558">
        <v>11</v>
      </c>
    </row>
    <row r="77" spans="1:32" s="2212" customFormat="1" ht="11.5" customHeight="1">
      <c r="A77" s="909"/>
      <c r="B77" s="1553"/>
      <c r="C77" s="1553"/>
      <c r="D77" s="285"/>
      <c r="K77" s="1077"/>
      <c r="L77" s="1553"/>
      <c r="M77" s="1553"/>
      <c r="N77" s="1077"/>
      <c r="O77" s="1077"/>
      <c r="P77" s="1077"/>
      <c r="Q77" s="1077"/>
      <c r="R77" s="1553"/>
      <c r="S77" s="1077"/>
      <c r="T77" s="1077"/>
      <c r="U77" s="478"/>
      <c r="V77" s="1077"/>
      <c r="W77" s="1077"/>
      <c r="X77" s="1077"/>
      <c r="Y77" s="1077"/>
      <c r="Z77" s="1077"/>
      <c r="AA77" s="1549"/>
      <c r="AB77" s="500"/>
      <c r="AC77" s="500"/>
      <c r="AD77" s="500"/>
      <c r="AE77" s="500"/>
      <c r="AF77" s="1558">
        <v>11</v>
      </c>
    </row>
    <row r="78" spans="1:32" s="2212" customFormat="1" ht="11.5" customHeight="1">
      <c r="A78" s="909"/>
      <c r="B78" s="1553"/>
      <c r="C78" s="1553"/>
      <c r="D78" s="285"/>
      <c r="K78" s="1077"/>
      <c r="L78" s="1553"/>
      <c r="M78" s="1553"/>
      <c r="N78" s="1077"/>
      <c r="O78" s="1077"/>
      <c r="P78" s="1077"/>
      <c r="Q78" s="1077"/>
      <c r="R78" s="1553"/>
      <c r="S78" s="1077"/>
      <c r="T78" s="1077"/>
      <c r="U78" s="478"/>
      <c r="V78" s="1077"/>
      <c r="W78" s="1077"/>
      <c r="X78" s="1077"/>
      <c r="Y78" s="1077"/>
      <c r="Z78" s="1077"/>
      <c r="AA78" s="1549"/>
      <c r="AB78" s="500"/>
      <c r="AC78" s="500"/>
      <c r="AD78" s="500"/>
      <c r="AE78" s="500"/>
      <c r="AF78" s="1558">
        <v>11</v>
      </c>
    </row>
    <row r="79" spans="1:32" s="2212" customFormat="1" ht="11.5" customHeight="1">
      <c r="A79" s="909"/>
      <c r="B79" s="1553"/>
      <c r="C79" s="1553"/>
      <c r="D79" s="285"/>
      <c r="K79" s="1077"/>
      <c r="L79" s="1553"/>
      <c r="M79" s="1553"/>
      <c r="N79" s="1077"/>
      <c r="O79" s="1077"/>
      <c r="P79" s="1077"/>
      <c r="Q79" s="1077"/>
      <c r="R79" s="1553"/>
      <c r="S79" s="1077"/>
      <c r="T79" s="1077"/>
      <c r="U79" s="478"/>
      <c r="V79" s="1077"/>
      <c r="W79" s="1077"/>
      <c r="X79" s="1077"/>
      <c r="Y79" s="1077"/>
      <c r="Z79" s="1077"/>
      <c r="AA79" s="1549"/>
      <c r="AB79" s="500"/>
      <c r="AC79" s="500"/>
      <c r="AD79" s="500"/>
      <c r="AE79" s="500"/>
      <c r="AF79" s="1558">
        <v>11</v>
      </c>
    </row>
    <row r="80" spans="1:32" s="2212" customFormat="1" ht="11.5" customHeight="1">
      <c r="A80" s="909"/>
      <c r="B80" s="1553"/>
      <c r="C80" s="1553"/>
      <c r="D80" s="285"/>
      <c r="K80" s="1077"/>
      <c r="L80" s="1553"/>
      <c r="M80" s="1553"/>
      <c r="N80" s="1077"/>
      <c r="O80" s="1077"/>
      <c r="P80" s="1077"/>
      <c r="Q80" s="1077"/>
      <c r="R80" s="1553"/>
      <c r="S80" s="1077"/>
      <c r="T80" s="1077"/>
      <c r="U80" s="478"/>
      <c r="V80" s="1077"/>
      <c r="W80" s="1077"/>
      <c r="X80" s="1077"/>
      <c r="Y80" s="1077"/>
      <c r="Z80" s="1077"/>
      <c r="AA80" s="1549"/>
      <c r="AB80" s="500"/>
      <c r="AC80" s="500"/>
      <c r="AD80" s="500"/>
      <c r="AE80" s="500"/>
      <c r="AF80" s="1558">
        <v>11</v>
      </c>
    </row>
    <row r="81" spans="1:32" s="2212" customFormat="1" ht="11.5" customHeight="1">
      <c r="A81" s="909"/>
      <c r="B81" s="1553"/>
      <c r="C81" s="1553"/>
      <c r="D81" s="285"/>
      <c r="K81" s="1077"/>
      <c r="L81" s="1553"/>
      <c r="M81" s="1553"/>
      <c r="N81" s="1077"/>
      <c r="O81" s="1077"/>
      <c r="P81" s="1077"/>
      <c r="Q81" s="1077"/>
      <c r="R81" s="1553"/>
      <c r="S81" s="1077"/>
      <c r="T81" s="1077"/>
      <c r="U81" s="478"/>
      <c r="V81" s="1077"/>
      <c r="W81" s="1077"/>
      <c r="X81" s="1077"/>
      <c r="Y81" s="1077"/>
      <c r="Z81" s="1077"/>
      <c r="AA81" s="1549"/>
      <c r="AB81" s="500"/>
      <c r="AC81" s="500"/>
      <c r="AD81" s="500"/>
      <c r="AE81" s="500"/>
      <c r="AF81" s="1558">
        <v>11</v>
      </c>
    </row>
    <row r="82" spans="1:32" s="2212" customFormat="1" ht="11.5" customHeight="1">
      <c r="A82" s="909"/>
      <c r="B82" s="1553"/>
      <c r="C82" s="1553"/>
      <c r="D82" s="285"/>
      <c r="K82" s="1077"/>
      <c r="L82" s="1553"/>
      <c r="M82" s="1553"/>
      <c r="N82" s="1077"/>
      <c r="O82" s="1077"/>
      <c r="P82" s="1077"/>
      <c r="Q82" s="1077"/>
      <c r="R82" s="1553"/>
      <c r="S82" s="1077"/>
      <c r="T82" s="1077"/>
      <c r="U82" s="478"/>
      <c r="V82" s="1077"/>
      <c r="W82" s="1077"/>
      <c r="X82" s="1077"/>
      <c r="Y82" s="1077"/>
      <c r="Z82" s="1077"/>
      <c r="AA82" s="1549"/>
      <c r="AB82" s="500"/>
      <c r="AC82" s="500"/>
      <c r="AD82" s="500"/>
      <c r="AE82" s="500"/>
      <c r="AF82" s="1558">
        <v>11</v>
      </c>
    </row>
    <row r="83" spans="1:32" s="2212" customFormat="1" ht="11.5" customHeight="1">
      <c r="A83" s="909"/>
      <c r="B83" s="1553"/>
      <c r="C83" s="1553"/>
      <c r="D83" s="285"/>
      <c r="K83" s="1077"/>
      <c r="L83" s="1553"/>
      <c r="M83" s="1553"/>
      <c r="N83" s="1077"/>
      <c r="O83" s="1077"/>
      <c r="P83" s="1077"/>
      <c r="Q83" s="1077"/>
      <c r="R83" s="1553"/>
      <c r="S83" s="1077"/>
      <c r="T83" s="1077"/>
      <c r="U83" s="478"/>
      <c r="V83" s="1077"/>
      <c r="W83" s="1077"/>
      <c r="X83" s="1077"/>
      <c r="Y83" s="1077"/>
      <c r="Z83" s="1077"/>
      <c r="AA83" s="1549"/>
      <c r="AB83" s="500"/>
      <c r="AC83" s="500"/>
      <c r="AD83" s="500"/>
      <c r="AE83" s="500"/>
      <c r="AF83" s="1558">
        <v>11</v>
      </c>
    </row>
    <row r="84" spans="1:32" s="2212" customFormat="1" ht="11.5" customHeight="1">
      <c r="A84" s="909"/>
      <c r="B84" s="1553"/>
      <c r="C84" s="1553"/>
      <c r="D84" s="285"/>
      <c r="K84" s="1077"/>
      <c r="L84" s="1553"/>
      <c r="M84" s="1553"/>
      <c r="N84" s="1077"/>
      <c r="O84" s="1077"/>
      <c r="P84" s="1077"/>
      <c r="Q84" s="1077"/>
      <c r="R84" s="1553"/>
      <c r="S84" s="1077"/>
      <c r="T84" s="1077"/>
      <c r="U84" s="478"/>
      <c r="V84" s="1077"/>
      <c r="W84" s="1077"/>
      <c r="X84" s="1077"/>
      <c r="Y84" s="1077"/>
      <c r="Z84" s="1077"/>
      <c r="AA84" s="1549"/>
      <c r="AB84" s="500"/>
      <c r="AC84" s="500"/>
      <c r="AD84" s="500"/>
      <c r="AE84" s="500"/>
      <c r="AF84" s="1558">
        <v>11</v>
      </c>
    </row>
    <row r="85" spans="1:32" s="2212" customFormat="1" ht="11.5" customHeight="1">
      <c r="A85" s="909"/>
      <c r="B85" s="1553"/>
      <c r="C85" s="1553"/>
      <c r="D85" s="285"/>
      <c r="K85" s="1077"/>
      <c r="L85" s="1553"/>
      <c r="M85" s="1553"/>
      <c r="N85" s="1077"/>
      <c r="O85" s="1077"/>
      <c r="P85" s="1077"/>
      <c r="Q85" s="1077"/>
      <c r="R85" s="1553"/>
      <c r="S85" s="1077"/>
      <c r="T85" s="1077"/>
      <c r="U85" s="478"/>
      <c r="V85" s="1077"/>
      <c r="W85" s="1077"/>
      <c r="X85" s="1077"/>
      <c r="Y85" s="1077"/>
      <c r="Z85" s="1077"/>
      <c r="AA85" s="1549"/>
      <c r="AB85" s="500"/>
      <c r="AC85" s="500"/>
      <c r="AD85" s="500"/>
      <c r="AE85" s="500"/>
      <c r="AF85" s="1558">
        <v>11</v>
      </c>
    </row>
    <row r="86" spans="1:32" s="2212" customFormat="1" ht="11.5" customHeight="1">
      <c r="A86" s="909"/>
      <c r="B86" s="1553"/>
      <c r="C86" s="1553"/>
      <c r="D86" s="285"/>
      <c r="K86" s="1077"/>
      <c r="L86" s="1553"/>
      <c r="M86" s="1553"/>
      <c r="N86" s="1077"/>
      <c r="O86" s="1077"/>
      <c r="P86" s="1077"/>
      <c r="Q86" s="1077"/>
      <c r="R86" s="1553"/>
      <c r="S86" s="1077"/>
      <c r="T86" s="1077"/>
      <c r="U86" s="478"/>
      <c r="V86" s="1077"/>
      <c r="W86" s="1077"/>
      <c r="X86" s="1077"/>
      <c r="Y86" s="1077"/>
      <c r="Z86" s="1077"/>
      <c r="AA86" s="1549"/>
      <c r="AB86" s="500"/>
      <c r="AC86" s="500"/>
      <c r="AD86" s="500"/>
      <c r="AE86" s="500"/>
      <c r="AF86" s="1558">
        <v>11</v>
      </c>
    </row>
    <row r="87" spans="1:32" s="2212" customFormat="1" ht="11.5" customHeight="1">
      <c r="A87" s="909"/>
      <c r="B87" s="1553"/>
      <c r="C87" s="1553"/>
      <c r="D87" s="285"/>
      <c r="K87" s="1077"/>
      <c r="L87" s="1553"/>
      <c r="M87" s="1553"/>
      <c r="N87" s="1077"/>
      <c r="O87" s="1077"/>
      <c r="P87" s="1077"/>
      <c r="Q87" s="1077"/>
      <c r="R87" s="1553"/>
      <c r="S87" s="1077"/>
      <c r="T87" s="1077"/>
      <c r="U87" s="478"/>
      <c r="V87" s="1077"/>
      <c r="W87" s="1077"/>
      <c r="X87" s="1077"/>
      <c r="Y87" s="1077"/>
      <c r="Z87" s="1077"/>
      <c r="AA87" s="1549"/>
      <c r="AB87" s="500"/>
      <c r="AC87" s="500"/>
      <c r="AD87" s="500"/>
      <c r="AE87" s="500"/>
      <c r="AF87" s="1558">
        <v>11</v>
      </c>
    </row>
    <row r="88" spans="1:32" s="2212" customFormat="1" ht="11.5" customHeight="1">
      <c r="A88" s="909"/>
      <c r="B88" s="1553"/>
      <c r="C88" s="1553"/>
      <c r="D88" s="285"/>
      <c r="K88" s="1077"/>
      <c r="L88" s="1553"/>
      <c r="M88" s="1553"/>
      <c r="N88" s="1077"/>
      <c r="O88" s="1077"/>
      <c r="P88" s="1077"/>
      <c r="Q88" s="1077"/>
      <c r="R88" s="1553"/>
      <c r="S88" s="1077"/>
      <c r="T88" s="1077"/>
      <c r="U88" s="478"/>
      <c r="V88" s="1077"/>
      <c r="W88" s="1077"/>
      <c r="X88" s="1077"/>
      <c r="Y88" s="1077"/>
      <c r="Z88" s="1077"/>
      <c r="AA88" s="1549"/>
      <c r="AB88" s="500"/>
      <c r="AC88" s="500"/>
      <c r="AD88" s="500"/>
      <c r="AE88" s="500"/>
      <c r="AF88" s="1558">
        <v>11</v>
      </c>
    </row>
    <row r="89" spans="1:32" s="2212" customFormat="1" ht="11.5" customHeight="1">
      <c r="A89" s="909"/>
      <c r="B89" s="1553"/>
      <c r="C89" s="1553"/>
      <c r="D89" s="285"/>
      <c r="K89" s="1077"/>
      <c r="L89" s="1553"/>
      <c r="M89" s="1553"/>
      <c r="N89" s="1077"/>
      <c r="O89" s="1077"/>
      <c r="P89" s="1077"/>
      <c r="Q89" s="1077"/>
      <c r="R89" s="1553"/>
      <c r="S89" s="1077"/>
      <c r="T89" s="1077"/>
      <c r="U89" s="478"/>
      <c r="V89" s="1077"/>
      <c r="W89" s="1077"/>
      <c r="X89" s="1077"/>
      <c r="Y89" s="1077"/>
      <c r="Z89" s="1077"/>
      <c r="AA89" s="1549"/>
      <c r="AB89" s="500"/>
      <c r="AC89" s="500"/>
      <c r="AD89" s="500"/>
      <c r="AE89" s="500"/>
      <c r="AF89" s="1558">
        <v>11</v>
      </c>
    </row>
    <row r="90" spans="1:32" s="2212" customFormat="1" ht="11.5" customHeight="1">
      <c r="A90" s="909"/>
      <c r="B90" s="1553"/>
      <c r="C90" s="1553"/>
      <c r="D90" s="285"/>
      <c r="K90" s="1077"/>
      <c r="L90" s="1553"/>
      <c r="M90" s="1553"/>
      <c r="N90" s="1077"/>
      <c r="O90" s="1077"/>
      <c r="P90" s="1077"/>
      <c r="Q90" s="1077"/>
      <c r="R90" s="1553"/>
      <c r="S90" s="1077"/>
      <c r="T90" s="1077"/>
      <c r="U90" s="478"/>
      <c r="V90" s="1077"/>
      <c r="W90" s="1077"/>
      <c r="X90" s="1077"/>
      <c r="Y90" s="1077"/>
      <c r="Z90" s="1077"/>
      <c r="AA90" s="1549"/>
      <c r="AB90" s="500"/>
      <c r="AC90" s="500"/>
      <c r="AD90" s="500"/>
      <c r="AE90" s="500"/>
      <c r="AF90" s="1558">
        <v>11</v>
      </c>
    </row>
    <row r="91" spans="1:32" s="2212" customFormat="1" ht="11.5" customHeight="1">
      <c r="A91" s="909"/>
      <c r="B91" s="1553"/>
      <c r="C91" s="1553"/>
      <c r="D91" s="285"/>
      <c r="K91" s="1077"/>
      <c r="L91" s="1553"/>
      <c r="M91" s="1553"/>
      <c r="N91" s="1077"/>
      <c r="O91" s="1077"/>
      <c r="P91" s="1077"/>
      <c r="Q91" s="1077"/>
      <c r="R91" s="1553"/>
      <c r="S91" s="1077"/>
      <c r="T91" s="1077"/>
      <c r="U91" s="478"/>
      <c r="V91" s="1077"/>
      <c r="W91" s="1077"/>
      <c r="X91" s="1077"/>
      <c r="Y91" s="1077"/>
      <c r="Z91" s="1077"/>
      <c r="AA91" s="1549"/>
      <c r="AB91" s="500"/>
      <c r="AC91" s="500"/>
      <c r="AD91" s="500"/>
      <c r="AE91" s="500"/>
      <c r="AF91" s="1558">
        <v>11</v>
      </c>
    </row>
    <row r="92" spans="1:32" s="2212" customFormat="1" ht="11.5" customHeight="1">
      <c r="A92" s="909"/>
      <c r="B92" s="1553"/>
      <c r="C92" s="1553"/>
      <c r="D92" s="285"/>
      <c r="K92" s="1077"/>
      <c r="L92" s="1553"/>
      <c r="M92" s="1553"/>
      <c r="N92" s="1077"/>
      <c r="O92" s="1077"/>
      <c r="P92" s="1077"/>
      <c r="Q92" s="1077"/>
      <c r="R92" s="1553"/>
      <c r="S92" s="1077"/>
      <c r="T92" s="1077"/>
      <c r="U92" s="478"/>
      <c r="V92" s="1077"/>
      <c r="W92" s="1077"/>
      <c r="X92" s="1077"/>
      <c r="Y92" s="1077"/>
      <c r="Z92" s="1077"/>
      <c r="AA92" s="1549"/>
      <c r="AB92" s="500"/>
      <c r="AC92" s="500"/>
      <c r="AD92" s="500"/>
      <c r="AE92" s="500"/>
      <c r="AF92" s="1558">
        <v>11</v>
      </c>
    </row>
    <row r="93" spans="1:32" s="2212" customFormat="1" ht="11.5" customHeight="1">
      <c r="A93" s="909"/>
      <c r="B93" s="1553"/>
      <c r="C93" s="1553"/>
      <c r="D93" s="285"/>
      <c r="K93" s="1077"/>
      <c r="L93" s="1553"/>
      <c r="M93" s="1553"/>
      <c r="N93" s="1077"/>
      <c r="O93" s="1077"/>
      <c r="P93" s="1077"/>
      <c r="Q93" s="1077"/>
      <c r="R93" s="1553"/>
      <c r="S93" s="1077"/>
      <c r="T93" s="1077"/>
      <c r="U93" s="478"/>
      <c r="V93" s="1077"/>
      <c r="W93" s="1077"/>
      <c r="X93" s="1077"/>
      <c r="Y93" s="1077"/>
      <c r="Z93" s="1077"/>
      <c r="AA93" s="1549"/>
      <c r="AB93" s="500"/>
      <c r="AC93" s="500"/>
      <c r="AD93" s="500"/>
      <c r="AE93" s="500"/>
      <c r="AF93" s="1558">
        <v>11</v>
      </c>
    </row>
    <row r="94" spans="1:32" s="2212" customFormat="1" ht="11.5" customHeight="1">
      <c r="A94" s="909"/>
      <c r="B94" s="1553"/>
      <c r="C94" s="1553"/>
      <c r="D94" s="285"/>
      <c r="K94" s="1077"/>
      <c r="L94" s="1553"/>
      <c r="M94" s="1553"/>
      <c r="N94" s="1077"/>
      <c r="O94" s="1077"/>
      <c r="P94" s="1077"/>
      <c r="Q94" s="1077"/>
      <c r="R94" s="1553"/>
      <c r="S94" s="1077"/>
      <c r="T94" s="1077"/>
      <c r="U94" s="478"/>
      <c r="V94" s="1077"/>
      <c r="W94" s="1077"/>
      <c r="X94" s="1077"/>
      <c r="Y94" s="1077"/>
      <c r="Z94" s="1077"/>
      <c r="AA94" s="1549"/>
      <c r="AB94" s="500"/>
      <c r="AC94" s="500"/>
      <c r="AD94" s="500"/>
      <c r="AE94" s="500"/>
      <c r="AF94" s="1558">
        <v>11</v>
      </c>
    </row>
    <row r="95" spans="1:32" s="2212" customFormat="1" ht="11.5" customHeight="1">
      <c r="A95" s="909"/>
      <c r="B95" s="1553"/>
      <c r="C95" s="1553"/>
      <c r="D95" s="285"/>
      <c r="K95" s="1077"/>
      <c r="L95" s="1553"/>
      <c r="M95" s="1553"/>
      <c r="N95" s="1077"/>
      <c r="O95" s="1077"/>
      <c r="P95" s="1077"/>
      <c r="Q95" s="1077"/>
      <c r="R95" s="1553"/>
      <c r="S95" s="1077"/>
      <c r="T95" s="1077"/>
      <c r="U95" s="478"/>
      <c r="V95" s="1077"/>
      <c r="W95" s="1077"/>
      <c r="X95" s="1077"/>
      <c r="Y95" s="1077"/>
      <c r="Z95" s="1077"/>
      <c r="AA95" s="1549"/>
      <c r="AB95" s="500"/>
      <c r="AC95" s="500"/>
      <c r="AD95" s="500"/>
      <c r="AE95" s="500"/>
      <c r="AF95" s="1558">
        <v>11</v>
      </c>
    </row>
    <row r="96" spans="1:32" s="2212" customFormat="1" ht="11.5" customHeight="1">
      <c r="A96" s="909"/>
      <c r="B96" s="1553"/>
      <c r="C96" s="1553"/>
      <c r="D96" s="285"/>
      <c r="K96" s="1077"/>
      <c r="L96" s="1553"/>
      <c r="M96" s="1553"/>
      <c r="N96" s="1077"/>
      <c r="O96" s="1077"/>
      <c r="P96" s="1077"/>
      <c r="Q96" s="1077"/>
      <c r="R96" s="1553"/>
      <c r="S96" s="1077"/>
      <c r="T96" s="1077"/>
      <c r="U96" s="478"/>
      <c r="V96" s="1077"/>
      <c r="W96" s="1077"/>
      <c r="X96" s="1077"/>
      <c r="Y96" s="1077"/>
      <c r="Z96" s="1077"/>
      <c r="AA96" s="1549"/>
      <c r="AB96" s="500"/>
      <c r="AC96" s="500"/>
      <c r="AD96" s="500"/>
      <c r="AE96" s="500"/>
      <c r="AF96" s="1558">
        <v>11</v>
      </c>
    </row>
    <row r="97" spans="1:32" s="2212" customFormat="1" ht="11.5" customHeight="1">
      <c r="A97" s="909"/>
      <c r="B97" s="1553"/>
      <c r="C97" s="1553"/>
      <c r="D97" s="285"/>
      <c r="K97" s="1077"/>
      <c r="L97" s="1553"/>
      <c r="M97" s="1553"/>
      <c r="N97" s="1077"/>
      <c r="O97" s="1077"/>
      <c r="P97" s="1077"/>
      <c r="Q97" s="1077"/>
      <c r="R97" s="1553"/>
      <c r="S97" s="1077"/>
      <c r="T97" s="1077"/>
      <c r="U97" s="478"/>
      <c r="V97" s="1077"/>
      <c r="W97" s="1077"/>
      <c r="X97" s="1077"/>
      <c r="Y97" s="1077"/>
      <c r="Z97" s="1077"/>
      <c r="AA97" s="1549"/>
      <c r="AB97" s="500"/>
      <c r="AC97" s="500"/>
      <c r="AD97" s="500"/>
      <c r="AE97" s="500"/>
      <c r="AF97" s="1558">
        <v>11</v>
      </c>
    </row>
    <row r="98" spans="1:32" s="2212" customFormat="1" ht="11.5" customHeight="1">
      <c r="A98" s="909"/>
      <c r="B98" s="1553"/>
      <c r="C98" s="1553"/>
      <c r="D98" s="285"/>
      <c r="K98" s="1077"/>
      <c r="L98" s="1553"/>
      <c r="M98" s="1553"/>
      <c r="N98" s="1077"/>
      <c r="O98" s="1077"/>
      <c r="P98" s="1077"/>
      <c r="Q98" s="1077"/>
      <c r="R98" s="1553"/>
      <c r="S98" s="1077"/>
      <c r="T98" s="1077"/>
      <c r="U98" s="478"/>
      <c r="V98" s="1077"/>
      <c r="W98" s="1077"/>
      <c r="X98" s="1077"/>
      <c r="Y98" s="1077"/>
      <c r="Z98" s="1077"/>
      <c r="AA98" s="1549"/>
      <c r="AB98" s="500"/>
      <c r="AC98" s="500"/>
      <c r="AD98" s="500"/>
      <c r="AE98" s="500"/>
      <c r="AF98" s="1558">
        <v>11</v>
      </c>
    </row>
    <row r="99" spans="1:32" s="2212" customFormat="1" ht="11.5" customHeight="1">
      <c r="A99" s="909"/>
      <c r="B99" s="1553"/>
      <c r="C99" s="1553"/>
      <c r="D99" s="285"/>
      <c r="K99" s="1077"/>
      <c r="L99" s="1553"/>
      <c r="M99" s="1553"/>
      <c r="N99" s="1077"/>
      <c r="O99" s="1077"/>
      <c r="P99" s="1077"/>
      <c r="Q99" s="1077"/>
      <c r="R99" s="1553"/>
      <c r="S99" s="1077"/>
      <c r="T99" s="1077"/>
      <c r="U99" s="478"/>
      <c r="V99" s="1077"/>
      <c r="W99" s="1077"/>
      <c r="X99" s="1077"/>
      <c r="Y99" s="1077"/>
      <c r="Z99" s="1077"/>
      <c r="AA99" s="1549"/>
      <c r="AB99" s="500"/>
      <c r="AC99" s="500"/>
      <c r="AD99" s="500"/>
      <c r="AE99" s="500"/>
      <c r="AF99" s="1558">
        <v>11</v>
      </c>
    </row>
    <row r="100" spans="1:32" s="2212" customFormat="1" ht="11.5" customHeight="1">
      <c r="A100" s="909"/>
      <c r="B100" s="1553"/>
      <c r="C100" s="1553"/>
      <c r="D100" s="285"/>
      <c r="K100" s="1077"/>
      <c r="L100" s="1553"/>
      <c r="M100" s="1553"/>
      <c r="N100" s="1077"/>
      <c r="O100" s="1077"/>
      <c r="P100" s="1077"/>
      <c r="Q100" s="1077"/>
      <c r="R100" s="1553"/>
      <c r="S100" s="1077"/>
      <c r="T100" s="1077"/>
      <c r="U100" s="478"/>
      <c r="V100" s="1077"/>
      <c r="W100" s="1077"/>
      <c r="X100" s="1077"/>
      <c r="Y100" s="1077"/>
      <c r="Z100" s="1077"/>
      <c r="AA100" s="1549"/>
      <c r="AB100" s="500"/>
      <c r="AC100" s="500"/>
      <c r="AD100" s="500"/>
      <c r="AE100" s="500"/>
      <c r="AF100" s="1558">
        <v>11</v>
      </c>
    </row>
    <row r="101" spans="1:32" s="2212" customFormat="1" ht="11.5" customHeight="1">
      <c r="A101" s="909"/>
      <c r="B101" s="1553"/>
      <c r="C101" s="1553"/>
      <c r="D101" s="285"/>
      <c r="K101" s="1077"/>
      <c r="L101" s="1553"/>
      <c r="M101" s="1553"/>
      <c r="N101" s="1077"/>
      <c r="O101" s="1077"/>
      <c r="P101" s="1077"/>
      <c r="Q101" s="1077"/>
      <c r="R101" s="1553"/>
      <c r="S101" s="1077"/>
      <c r="T101" s="1077"/>
      <c r="U101" s="478"/>
      <c r="V101" s="1077"/>
      <c r="W101" s="1077"/>
      <c r="X101" s="1077"/>
      <c r="Y101" s="1077"/>
      <c r="Z101" s="1077"/>
      <c r="AA101" s="1549"/>
      <c r="AB101" s="500"/>
      <c r="AC101" s="500"/>
      <c r="AD101" s="500"/>
      <c r="AE101" s="500"/>
      <c r="AF101" s="1558">
        <v>11</v>
      </c>
    </row>
    <row r="102" spans="1:32" s="2212" customFormat="1" ht="11.5" customHeight="1">
      <c r="A102" s="909"/>
      <c r="B102" s="1553"/>
      <c r="C102" s="1553"/>
      <c r="D102" s="285"/>
      <c r="K102" s="1077"/>
      <c r="L102" s="1553"/>
      <c r="M102" s="1553"/>
      <c r="N102" s="1077"/>
      <c r="O102" s="1077"/>
      <c r="P102" s="1077"/>
      <c r="Q102" s="1077"/>
      <c r="R102" s="1553"/>
      <c r="S102" s="1077"/>
      <c r="T102" s="1077"/>
      <c r="U102" s="478"/>
      <c r="V102" s="1077"/>
      <c r="W102" s="1077"/>
      <c r="X102" s="1077"/>
      <c r="Y102" s="1077"/>
      <c r="Z102" s="1077"/>
      <c r="AA102" s="1549"/>
      <c r="AB102" s="500"/>
      <c r="AC102" s="500"/>
      <c r="AD102" s="500"/>
      <c r="AE102" s="500"/>
      <c r="AF102" s="1558">
        <v>11</v>
      </c>
    </row>
    <row r="103" spans="1:32" s="2212" customFormat="1" ht="11.5" customHeight="1">
      <c r="A103" s="909"/>
      <c r="B103" s="1553"/>
      <c r="C103" s="1553"/>
      <c r="D103" s="285"/>
      <c r="K103" s="1077"/>
      <c r="L103" s="1553"/>
      <c r="M103" s="1553"/>
      <c r="N103" s="1077"/>
      <c r="O103" s="1077"/>
      <c r="P103" s="1077"/>
      <c r="Q103" s="1077"/>
      <c r="R103" s="1553"/>
      <c r="S103" s="1077"/>
      <c r="T103" s="1077"/>
      <c r="U103" s="478"/>
      <c r="V103" s="1077"/>
      <c r="W103" s="1077"/>
      <c r="X103" s="1077"/>
      <c r="Y103" s="1077"/>
      <c r="Z103" s="1077"/>
      <c r="AA103" s="1549"/>
      <c r="AB103" s="500"/>
      <c r="AC103" s="500"/>
      <c r="AD103" s="500"/>
      <c r="AE103" s="500"/>
      <c r="AF103" s="1558">
        <v>11</v>
      </c>
    </row>
    <row r="104" spans="1:32" s="2212" customFormat="1" ht="11.5" customHeight="1">
      <c r="A104" s="909"/>
      <c r="B104" s="1553"/>
      <c r="C104" s="1553"/>
      <c r="D104" s="285"/>
      <c r="K104" s="1077"/>
      <c r="L104" s="1553"/>
      <c r="M104" s="1553"/>
      <c r="N104" s="1077"/>
      <c r="O104" s="1077"/>
      <c r="P104" s="1077"/>
      <c r="Q104" s="1077"/>
      <c r="R104" s="1553"/>
      <c r="S104" s="1077"/>
      <c r="T104" s="1077"/>
      <c r="U104" s="478"/>
      <c r="V104" s="1077"/>
      <c r="W104" s="1077"/>
      <c r="X104" s="1077"/>
      <c r="Y104" s="1077"/>
      <c r="Z104" s="1077"/>
      <c r="AA104" s="1549"/>
      <c r="AB104" s="500"/>
      <c r="AC104" s="500"/>
      <c r="AD104" s="500"/>
      <c r="AE104" s="500"/>
      <c r="AF104" s="1558">
        <v>11</v>
      </c>
    </row>
    <row r="105" spans="1:32" s="2212" customFormat="1" ht="11.5" customHeight="1">
      <c r="A105" s="909"/>
      <c r="B105" s="1553"/>
      <c r="C105" s="1553"/>
      <c r="D105" s="285"/>
      <c r="K105" s="1077"/>
      <c r="L105" s="1553"/>
      <c r="M105" s="1553"/>
      <c r="N105" s="1077"/>
      <c r="O105" s="1077"/>
      <c r="P105" s="1077"/>
      <c r="Q105" s="1077"/>
      <c r="R105" s="1553"/>
      <c r="S105" s="1077"/>
      <c r="T105" s="1077"/>
      <c r="U105" s="478"/>
      <c r="V105" s="1077"/>
      <c r="W105" s="1077"/>
      <c r="X105" s="1077"/>
      <c r="Y105" s="1077"/>
      <c r="Z105" s="1077"/>
      <c r="AA105" s="1549"/>
      <c r="AB105" s="500"/>
      <c r="AC105" s="500"/>
      <c r="AD105" s="500"/>
      <c r="AE105" s="500"/>
      <c r="AF105" s="1558">
        <v>11</v>
      </c>
    </row>
    <row r="106" spans="1:32" s="2212" customFormat="1" ht="11.5" customHeight="1">
      <c r="A106" s="909"/>
      <c r="B106" s="1553"/>
      <c r="C106" s="1553"/>
      <c r="D106" s="285"/>
      <c r="K106" s="1077"/>
      <c r="L106" s="1553"/>
      <c r="M106" s="1553"/>
      <c r="N106" s="1077"/>
      <c r="O106" s="1077"/>
      <c r="P106" s="1077"/>
      <c r="Q106" s="1077"/>
      <c r="R106" s="1553"/>
      <c r="S106" s="1077"/>
      <c r="T106" s="1077"/>
      <c r="U106" s="478"/>
      <c r="V106" s="1077"/>
      <c r="W106" s="1077"/>
      <c r="X106" s="1077"/>
      <c r="Y106" s="1077"/>
      <c r="Z106" s="1077"/>
      <c r="AA106" s="1549"/>
      <c r="AB106" s="500"/>
      <c r="AC106" s="500"/>
      <c r="AD106" s="500"/>
      <c r="AE106" s="500"/>
      <c r="AF106" s="1558">
        <v>11</v>
      </c>
    </row>
    <row r="107" spans="1:32" s="2212" customFormat="1" ht="11.5" customHeight="1">
      <c r="A107" s="909"/>
      <c r="B107" s="1553"/>
      <c r="C107" s="1553"/>
      <c r="D107" s="285"/>
      <c r="K107" s="1077"/>
      <c r="L107" s="1553"/>
      <c r="M107" s="1553"/>
      <c r="N107" s="1077"/>
      <c r="O107" s="1077"/>
      <c r="P107" s="1077"/>
      <c r="Q107" s="1077"/>
      <c r="R107" s="1553"/>
      <c r="S107" s="1077"/>
      <c r="T107" s="1077"/>
      <c r="U107" s="478"/>
      <c r="V107" s="1077"/>
      <c r="W107" s="1077"/>
      <c r="X107" s="1077"/>
      <c r="Y107" s="1077"/>
      <c r="Z107" s="1077"/>
      <c r="AA107" s="1549"/>
      <c r="AB107" s="500"/>
      <c r="AC107" s="500"/>
      <c r="AD107" s="500"/>
      <c r="AE107" s="500"/>
      <c r="AF107" s="1558">
        <v>11</v>
      </c>
    </row>
    <row r="108" spans="1:32" s="2212" customFormat="1" ht="11.5" customHeight="1">
      <c r="A108" s="909"/>
      <c r="B108" s="1553"/>
      <c r="C108" s="1553"/>
      <c r="D108" s="285"/>
      <c r="K108" s="1077"/>
      <c r="L108" s="1553"/>
      <c r="M108" s="1553"/>
      <c r="N108" s="1077"/>
      <c r="O108" s="1077"/>
      <c r="P108" s="1077"/>
      <c r="Q108" s="1077"/>
      <c r="R108" s="1553"/>
      <c r="S108" s="1077"/>
      <c r="T108" s="1077"/>
      <c r="U108" s="478"/>
      <c r="V108" s="1077"/>
      <c r="W108" s="1077"/>
      <c r="X108" s="1077"/>
      <c r="Y108" s="1077"/>
      <c r="Z108" s="1077"/>
      <c r="AA108" s="1549"/>
      <c r="AB108" s="500"/>
      <c r="AC108" s="500"/>
      <c r="AD108" s="500"/>
      <c r="AE108" s="500"/>
      <c r="AF108" s="1558">
        <v>11</v>
      </c>
    </row>
    <row r="109" spans="1:32" s="2212" customFormat="1" ht="11.5" customHeight="1">
      <c r="A109" s="909"/>
      <c r="B109" s="1553"/>
      <c r="C109" s="1553"/>
      <c r="D109" s="285"/>
      <c r="K109" s="1077"/>
      <c r="L109" s="1553"/>
      <c r="M109" s="1553"/>
      <c r="N109" s="1077"/>
      <c r="O109" s="1077"/>
      <c r="P109" s="1077"/>
      <c r="Q109" s="1077"/>
      <c r="R109" s="1553"/>
      <c r="S109" s="1077"/>
      <c r="T109" s="1077"/>
      <c r="U109" s="478"/>
      <c r="V109" s="1077"/>
      <c r="W109" s="1077"/>
      <c r="X109" s="1077"/>
      <c r="Y109" s="1077"/>
      <c r="Z109" s="1077"/>
      <c r="AA109" s="1549"/>
      <c r="AB109" s="500"/>
      <c r="AC109" s="500"/>
      <c r="AD109" s="500"/>
      <c r="AE109" s="500"/>
      <c r="AF109" s="1558">
        <v>11</v>
      </c>
    </row>
    <row r="110" spans="1:32" s="2212" customFormat="1" ht="11.5" customHeight="1">
      <c r="A110" s="909"/>
      <c r="B110" s="1553"/>
      <c r="C110" s="1553"/>
      <c r="D110" s="285"/>
      <c r="K110" s="1077"/>
      <c r="L110" s="1553"/>
      <c r="M110" s="1553"/>
      <c r="N110" s="1077"/>
      <c r="O110" s="1077"/>
      <c r="P110" s="1077"/>
      <c r="Q110" s="1077"/>
      <c r="R110" s="1553"/>
      <c r="S110" s="1077"/>
      <c r="T110" s="1077"/>
      <c r="U110" s="478"/>
      <c r="V110" s="1077"/>
      <c r="W110" s="1077"/>
      <c r="X110" s="1077"/>
      <c r="Y110" s="1077"/>
      <c r="Z110" s="1077"/>
      <c r="AA110" s="1549"/>
      <c r="AB110" s="500"/>
      <c r="AC110" s="500"/>
      <c r="AD110" s="500"/>
      <c r="AE110" s="500"/>
      <c r="AF110" s="1558">
        <v>11</v>
      </c>
    </row>
    <row r="111" spans="1:32" s="2212" customFormat="1" ht="11.5" customHeight="1">
      <c r="A111" s="909"/>
      <c r="B111" s="1553"/>
      <c r="C111" s="1553"/>
      <c r="D111" s="285"/>
      <c r="K111" s="1077"/>
      <c r="L111" s="1553"/>
      <c r="M111" s="1553"/>
      <c r="N111" s="1077"/>
      <c r="O111" s="1077"/>
      <c r="P111" s="1077"/>
      <c r="Q111" s="1077"/>
      <c r="R111" s="1553"/>
      <c r="S111" s="1077"/>
      <c r="T111" s="1077"/>
      <c r="U111" s="478"/>
      <c r="V111" s="1077"/>
      <c r="W111" s="1077"/>
      <c r="X111" s="1077"/>
      <c r="Y111" s="1077"/>
      <c r="Z111" s="1077"/>
      <c r="AA111" s="1549"/>
      <c r="AB111" s="500"/>
      <c r="AC111" s="500"/>
      <c r="AD111" s="500"/>
      <c r="AE111" s="500"/>
      <c r="AF111" s="1558">
        <v>11</v>
      </c>
    </row>
    <row r="112" spans="1:32" s="2212" customFormat="1" ht="11.5" customHeight="1">
      <c r="A112" s="909"/>
      <c r="B112" s="1553"/>
      <c r="C112" s="1553"/>
      <c r="D112" s="285"/>
      <c r="K112" s="1077"/>
      <c r="L112" s="1553"/>
      <c r="M112" s="1553"/>
      <c r="N112" s="1077"/>
      <c r="O112" s="1077"/>
      <c r="P112" s="1077"/>
      <c r="Q112" s="1077"/>
      <c r="R112" s="1553"/>
      <c r="S112" s="1077"/>
      <c r="T112" s="1077"/>
      <c r="U112" s="478"/>
      <c r="V112" s="1077"/>
      <c r="W112" s="1077"/>
      <c r="X112" s="1077"/>
      <c r="Y112" s="1077"/>
      <c r="Z112" s="1077"/>
      <c r="AA112" s="1549"/>
      <c r="AB112" s="500"/>
      <c r="AC112" s="500"/>
      <c r="AD112" s="500"/>
      <c r="AE112" s="500"/>
      <c r="AF112" s="1558">
        <v>11</v>
      </c>
    </row>
    <row r="113" spans="1:32" s="2212" customFormat="1" ht="11.5" customHeight="1">
      <c r="A113" s="909"/>
      <c r="B113" s="1553"/>
      <c r="C113" s="1553"/>
      <c r="D113" s="285"/>
      <c r="K113" s="1077"/>
      <c r="L113" s="1553"/>
      <c r="M113" s="1553"/>
      <c r="N113" s="1077"/>
      <c r="O113" s="1077"/>
      <c r="P113" s="1077"/>
      <c r="Q113" s="1077"/>
      <c r="R113" s="1553"/>
      <c r="S113" s="1077"/>
      <c r="T113" s="1077"/>
      <c r="U113" s="478"/>
      <c r="V113" s="1077"/>
      <c r="W113" s="1077"/>
      <c r="X113" s="1077"/>
      <c r="Y113" s="1077"/>
      <c r="Z113" s="1077"/>
      <c r="AA113" s="1549"/>
      <c r="AB113" s="500"/>
      <c r="AC113" s="500"/>
      <c r="AD113" s="500"/>
      <c r="AE113" s="500"/>
      <c r="AF113" s="1558">
        <v>11</v>
      </c>
    </row>
    <row r="114" spans="1:32" s="2212" customFormat="1" ht="11.5" customHeight="1">
      <c r="A114" s="909"/>
      <c r="B114" s="1553"/>
      <c r="C114" s="1553"/>
      <c r="D114" s="285"/>
      <c r="K114" s="1077"/>
      <c r="L114" s="1553"/>
      <c r="M114" s="1553"/>
      <c r="N114" s="1077"/>
      <c r="O114" s="1077"/>
      <c r="P114" s="1077"/>
      <c r="Q114" s="1077"/>
      <c r="R114" s="1553"/>
      <c r="S114" s="1077"/>
      <c r="T114" s="1077"/>
      <c r="U114" s="478"/>
      <c r="V114" s="1077"/>
      <c r="W114" s="1077"/>
      <c r="X114" s="1077"/>
      <c r="Y114" s="1077"/>
      <c r="Z114" s="1077"/>
      <c r="AA114" s="1549"/>
      <c r="AB114" s="500"/>
      <c r="AC114" s="500"/>
      <c r="AD114" s="500"/>
      <c r="AE114" s="500"/>
      <c r="AF114" s="1558">
        <v>11</v>
      </c>
    </row>
    <row r="115" spans="1:32" s="2212" customFormat="1" ht="11.5" customHeight="1">
      <c r="A115" s="909"/>
      <c r="B115" s="1553"/>
      <c r="C115" s="1553"/>
      <c r="D115" s="285"/>
      <c r="K115" s="1077"/>
      <c r="L115" s="1553"/>
      <c r="M115" s="1553"/>
      <c r="N115" s="1077"/>
      <c r="O115" s="1077"/>
      <c r="P115" s="1077"/>
      <c r="Q115" s="1077"/>
      <c r="R115" s="1553"/>
      <c r="S115" s="1077"/>
      <c r="T115" s="1077"/>
      <c r="U115" s="478"/>
      <c r="V115" s="1077"/>
      <c r="W115" s="1077"/>
      <c r="X115" s="1077"/>
      <c r="Y115" s="1077"/>
      <c r="Z115" s="1077"/>
      <c r="AA115" s="1549"/>
      <c r="AB115" s="500"/>
      <c r="AC115" s="500"/>
      <c r="AD115" s="500"/>
      <c r="AE115" s="500"/>
      <c r="AF115" s="1558">
        <v>11</v>
      </c>
    </row>
    <row r="116" spans="1:32" s="2212" customFormat="1" ht="11.5" customHeight="1">
      <c r="A116" s="909"/>
      <c r="B116" s="1553"/>
      <c r="C116" s="1553"/>
      <c r="D116" s="285"/>
      <c r="K116" s="1077"/>
      <c r="L116" s="1553"/>
      <c r="M116" s="1553"/>
      <c r="N116" s="1077"/>
      <c r="O116" s="1077"/>
      <c r="P116" s="1077"/>
      <c r="Q116" s="1077"/>
      <c r="R116" s="1553"/>
      <c r="S116" s="1077"/>
      <c r="T116" s="1077"/>
      <c r="U116" s="478"/>
      <c r="V116" s="1077"/>
      <c r="W116" s="1077"/>
      <c r="X116" s="1077"/>
      <c r="Y116" s="1077"/>
      <c r="Z116" s="1077"/>
      <c r="AA116" s="1549"/>
      <c r="AB116" s="500"/>
      <c r="AC116" s="500"/>
      <c r="AD116" s="500"/>
      <c r="AE116" s="500"/>
      <c r="AF116" s="1558">
        <v>11</v>
      </c>
    </row>
    <row r="117" spans="1:32" s="2212" customFormat="1" ht="11.5" customHeight="1">
      <c r="A117" s="909"/>
      <c r="B117" s="1553"/>
      <c r="C117" s="1553"/>
      <c r="D117" s="285"/>
      <c r="K117" s="1077"/>
      <c r="L117" s="1553"/>
      <c r="M117" s="1553"/>
      <c r="N117" s="1077"/>
      <c r="O117" s="1077"/>
      <c r="P117" s="1077"/>
      <c r="Q117" s="1077"/>
      <c r="R117" s="1553"/>
      <c r="S117" s="1077"/>
      <c r="T117" s="1077"/>
      <c r="U117" s="478"/>
      <c r="V117" s="1077"/>
      <c r="W117" s="1077"/>
      <c r="X117" s="1077"/>
      <c r="Y117" s="1077"/>
      <c r="Z117" s="1077"/>
      <c r="AA117" s="1549"/>
      <c r="AB117" s="500"/>
      <c r="AC117" s="500"/>
      <c r="AD117" s="500"/>
      <c r="AE117" s="500"/>
      <c r="AF117" s="1558">
        <v>11</v>
      </c>
    </row>
    <row r="118" spans="1:32" s="2212" customFormat="1" ht="11.5" customHeight="1">
      <c r="A118" s="909"/>
      <c r="B118" s="1553"/>
      <c r="C118" s="1553"/>
      <c r="D118" s="285"/>
      <c r="K118" s="1077"/>
      <c r="L118" s="1553"/>
      <c r="M118" s="1553"/>
      <c r="N118" s="1077"/>
      <c r="O118" s="1077"/>
      <c r="P118" s="1077"/>
      <c r="Q118" s="1077"/>
      <c r="R118" s="1553"/>
      <c r="S118" s="1077"/>
      <c r="T118" s="1077"/>
      <c r="U118" s="478"/>
      <c r="V118" s="1077"/>
      <c r="W118" s="1077"/>
      <c r="X118" s="1077"/>
      <c r="Y118" s="1077"/>
      <c r="Z118" s="1077"/>
      <c r="AA118" s="1549"/>
      <c r="AB118" s="500"/>
      <c r="AC118" s="500"/>
      <c r="AD118" s="500"/>
      <c r="AE118" s="500"/>
      <c r="AF118" s="1558">
        <v>11</v>
      </c>
    </row>
    <row r="119" spans="1:32" s="2212" customFormat="1" ht="11.5" customHeight="1">
      <c r="A119" s="909"/>
      <c r="B119" s="1553"/>
      <c r="C119" s="1553"/>
      <c r="D119" s="285"/>
      <c r="K119" s="1077"/>
      <c r="L119" s="1553"/>
      <c r="M119" s="1553"/>
      <c r="N119" s="1077"/>
      <c r="O119" s="1077"/>
      <c r="P119" s="1077"/>
      <c r="Q119" s="1077"/>
      <c r="R119" s="1553"/>
      <c r="S119" s="1077"/>
      <c r="T119" s="1077"/>
      <c r="U119" s="478"/>
      <c r="V119" s="1077"/>
      <c r="W119" s="1077"/>
      <c r="X119" s="1077"/>
      <c r="Y119" s="1077"/>
      <c r="Z119" s="1077"/>
      <c r="AA119" s="1549"/>
      <c r="AB119" s="500"/>
      <c r="AC119" s="500"/>
      <c r="AD119" s="500"/>
      <c r="AE119" s="500"/>
      <c r="AF119" s="1558">
        <v>11</v>
      </c>
    </row>
    <row r="120" spans="1:32" s="2212" customFormat="1" ht="11.5" customHeight="1">
      <c r="A120" s="909"/>
      <c r="B120" s="1553"/>
      <c r="C120" s="1553"/>
      <c r="D120" s="285"/>
      <c r="K120" s="1077"/>
      <c r="L120" s="1553"/>
      <c r="M120" s="1553"/>
      <c r="N120" s="1077"/>
      <c r="O120" s="1077"/>
      <c r="P120" s="1077"/>
      <c r="Q120" s="1077"/>
      <c r="R120" s="1553"/>
      <c r="S120" s="1077"/>
      <c r="T120" s="1077"/>
      <c r="U120" s="478"/>
      <c r="V120" s="1077"/>
      <c r="W120" s="1077"/>
      <c r="X120" s="1077"/>
      <c r="Y120" s="1077"/>
      <c r="Z120" s="1077"/>
      <c r="AA120" s="1549"/>
      <c r="AB120" s="500"/>
      <c r="AC120" s="500"/>
      <c r="AD120" s="500"/>
      <c r="AE120" s="500"/>
      <c r="AF120" s="1558">
        <v>11</v>
      </c>
    </row>
    <row r="121" spans="1:32" s="2212" customFormat="1" ht="11.5" customHeight="1">
      <c r="A121" s="909"/>
      <c r="B121" s="1553"/>
      <c r="C121" s="1553"/>
      <c r="D121" s="285"/>
      <c r="K121" s="1077"/>
      <c r="L121" s="1553"/>
      <c r="M121" s="1553"/>
      <c r="N121" s="1077"/>
      <c r="O121" s="1077"/>
      <c r="P121" s="1077"/>
      <c r="Q121" s="1077"/>
      <c r="R121" s="1553"/>
      <c r="S121" s="1077"/>
      <c r="T121" s="1077"/>
      <c r="U121" s="478"/>
      <c r="V121" s="1077"/>
      <c r="W121" s="1077"/>
      <c r="X121" s="1077"/>
      <c r="Y121" s="1077"/>
      <c r="Z121" s="1077"/>
      <c r="AA121" s="1549"/>
      <c r="AB121" s="500"/>
      <c r="AC121" s="500"/>
      <c r="AD121" s="500"/>
      <c r="AE121" s="500"/>
      <c r="AF121" s="1558">
        <v>11</v>
      </c>
    </row>
    <row r="122" spans="1:32" s="2212" customFormat="1" ht="11.5" customHeight="1">
      <c r="A122" s="909"/>
      <c r="B122" s="1553"/>
      <c r="C122" s="1553"/>
      <c r="D122" s="285"/>
      <c r="K122" s="1077"/>
      <c r="L122" s="1553"/>
      <c r="M122" s="1553"/>
      <c r="N122" s="1077"/>
      <c r="O122" s="1077"/>
      <c r="P122" s="1077"/>
      <c r="Q122" s="1077"/>
      <c r="R122" s="1553"/>
      <c r="S122" s="1077"/>
      <c r="T122" s="1077"/>
      <c r="U122" s="478"/>
      <c r="V122" s="1077"/>
      <c r="W122" s="1077"/>
      <c r="X122" s="1077"/>
      <c r="Y122" s="1077"/>
      <c r="Z122" s="1077"/>
      <c r="AA122" s="1549"/>
      <c r="AB122" s="500"/>
      <c r="AC122" s="500"/>
      <c r="AD122" s="500"/>
      <c r="AE122" s="500"/>
      <c r="AF122" s="1558">
        <v>11</v>
      </c>
    </row>
    <row r="123" spans="1:32" s="2212" customFormat="1" ht="11.5" customHeight="1">
      <c r="A123" s="909"/>
      <c r="B123" s="1553"/>
      <c r="C123" s="1553"/>
      <c r="D123" s="285"/>
      <c r="K123" s="1077"/>
      <c r="L123" s="1553"/>
      <c r="M123" s="1553"/>
      <c r="N123" s="1077"/>
      <c r="O123" s="1077"/>
      <c r="P123" s="1077"/>
      <c r="Q123" s="1077"/>
      <c r="R123" s="1553"/>
      <c r="S123" s="1077"/>
      <c r="T123" s="1077"/>
      <c r="U123" s="478"/>
      <c r="V123" s="1077"/>
      <c r="W123" s="1077"/>
      <c r="X123" s="1077"/>
      <c r="Y123" s="1077"/>
      <c r="Z123" s="1077"/>
      <c r="AA123" s="1549"/>
      <c r="AB123" s="500"/>
      <c r="AC123" s="500"/>
      <c r="AD123" s="500"/>
      <c r="AE123" s="500"/>
      <c r="AF123" s="1558">
        <v>11</v>
      </c>
    </row>
    <row r="124" spans="1:32" s="2212" customFormat="1" ht="11.5" customHeight="1">
      <c r="A124" s="909"/>
      <c r="B124" s="1553"/>
      <c r="C124" s="1553"/>
      <c r="D124" s="285"/>
      <c r="K124" s="1077"/>
      <c r="L124" s="1553"/>
      <c r="M124" s="1553"/>
      <c r="N124" s="1077"/>
      <c r="O124" s="1077"/>
      <c r="P124" s="1077"/>
      <c r="Q124" s="1077"/>
      <c r="R124" s="1553"/>
      <c r="S124" s="1077"/>
      <c r="T124" s="1077"/>
      <c r="U124" s="478"/>
      <c r="V124" s="1077"/>
      <c r="W124" s="1077"/>
      <c r="X124" s="1077"/>
      <c r="Y124" s="1077"/>
      <c r="Z124" s="1077"/>
      <c r="AA124" s="1549"/>
      <c r="AB124" s="500"/>
      <c r="AC124" s="500"/>
      <c r="AD124" s="500"/>
      <c r="AE124" s="500"/>
      <c r="AF124" s="1558">
        <v>11</v>
      </c>
    </row>
    <row r="125" spans="1:32" s="2212" customFormat="1" ht="11.5" customHeight="1">
      <c r="A125" s="909"/>
      <c r="B125" s="1553"/>
      <c r="C125" s="1553"/>
      <c r="D125" s="285"/>
      <c r="K125" s="1077"/>
      <c r="L125" s="1553"/>
      <c r="M125" s="1553"/>
      <c r="N125" s="1077"/>
      <c r="O125" s="1077"/>
      <c r="P125" s="1077"/>
      <c r="Q125" s="1077"/>
      <c r="R125" s="1553"/>
      <c r="S125" s="1077"/>
      <c r="T125" s="1077"/>
      <c r="U125" s="478"/>
      <c r="V125" s="1077"/>
      <c r="W125" s="1077"/>
      <c r="X125" s="1077"/>
      <c r="Y125" s="1077"/>
      <c r="Z125" s="1077"/>
      <c r="AA125" s="1549"/>
      <c r="AB125" s="500"/>
      <c r="AC125" s="500"/>
      <c r="AD125" s="500"/>
      <c r="AE125" s="500"/>
      <c r="AF125" s="1558">
        <v>11</v>
      </c>
    </row>
    <row r="126" spans="1:32" s="2212" customFormat="1" ht="11.5" customHeight="1">
      <c r="A126" s="909"/>
      <c r="B126" s="1553"/>
      <c r="C126" s="1553"/>
      <c r="D126" s="285"/>
      <c r="K126" s="1077"/>
      <c r="L126" s="1553"/>
      <c r="M126" s="1553"/>
      <c r="N126" s="1077"/>
      <c r="O126" s="1077"/>
      <c r="P126" s="1077"/>
      <c r="Q126" s="1077"/>
      <c r="R126" s="1553"/>
      <c r="S126" s="1077"/>
      <c r="T126" s="1077"/>
      <c r="U126" s="478"/>
      <c r="V126" s="1077"/>
      <c r="W126" s="1077"/>
      <c r="X126" s="1077"/>
      <c r="Y126" s="1077"/>
      <c r="Z126" s="1077"/>
      <c r="AA126" s="1549"/>
      <c r="AB126" s="500"/>
      <c r="AC126" s="500"/>
      <c r="AD126" s="500"/>
      <c r="AE126" s="500"/>
      <c r="AF126" s="1558">
        <v>11</v>
      </c>
    </row>
    <row r="127" spans="1:32" s="2212" customFormat="1" ht="11.5" customHeight="1">
      <c r="A127" s="909"/>
      <c r="B127" s="1553"/>
      <c r="C127" s="1553"/>
      <c r="D127" s="285"/>
      <c r="K127" s="1077"/>
      <c r="L127" s="1553"/>
      <c r="M127" s="1553"/>
      <c r="N127" s="1077"/>
      <c r="O127" s="1077"/>
      <c r="P127" s="1077"/>
      <c r="Q127" s="1077"/>
      <c r="R127" s="1553"/>
      <c r="S127" s="1077"/>
      <c r="T127" s="1077"/>
      <c r="U127" s="478"/>
      <c r="V127" s="1077"/>
      <c r="W127" s="1077"/>
      <c r="X127" s="1077"/>
      <c r="Y127" s="1077"/>
      <c r="Z127" s="1077"/>
      <c r="AA127" s="1549"/>
      <c r="AB127" s="500"/>
      <c r="AC127" s="500"/>
      <c r="AD127" s="500"/>
      <c r="AE127" s="500"/>
      <c r="AF127" s="1558">
        <v>11</v>
      </c>
    </row>
    <row r="128" spans="1:32" s="2212" customFormat="1" ht="11.5" customHeight="1">
      <c r="A128" s="909"/>
      <c r="B128" s="1553"/>
      <c r="C128" s="1553"/>
      <c r="D128" s="285"/>
      <c r="K128" s="1077"/>
      <c r="L128" s="1553"/>
      <c r="M128" s="1553"/>
      <c r="N128" s="1077"/>
      <c r="O128" s="1077"/>
      <c r="P128" s="1077"/>
      <c r="Q128" s="1077"/>
      <c r="R128" s="1553"/>
      <c r="S128" s="1077"/>
      <c r="T128" s="1077"/>
      <c r="U128" s="478"/>
      <c r="V128" s="1077"/>
      <c r="W128" s="1077"/>
      <c r="X128" s="1077"/>
      <c r="Y128" s="1077"/>
      <c r="Z128" s="1077"/>
      <c r="AA128" s="1549"/>
      <c r="AB128" s="500"/>
      <c r="AC128" s="500"/>
      <c r="AD128" s="500"/>
      <c r="AE128" s="500"/>
      <c r="AF128" s="1558">
        <v>11</v>
      </c>
    </row>
    <row r="129" spans="1:32" s="2212" customFormat="1" ht="11.5" customHeight="1">
      <c r="A129" s="909"/>
      <c r="B129" s="1553"/>
      <c r="C129" s="1553"/>
      <c r="D129" s="285"/>
      <c r="K129" s="1077"/>
      <c r="L129" s="1553"/>
      <c r="M129" s="1553"/>
      <c r="N129" s="1077"/>
      <c r="O129" s="1077"/>
      <c r="P129" s="1077"/>
      <c r="Q129" s="1077"/>
      <c r="R129" s="1553"/>
      <c r="S129" s="1077"/>
      <c r="T129" s="1077"/>
      <c r="U129" s="478"/>
      <c r="V129" s="1077"/>
      <c r="W129" s="1077"/>
      <c r="X129" s="1077"/>
      <c r="Y129" s="1077"/>
      <c r="Z129" s="1077"/>
      <c r="AA129" s="1549"/>
      <c r="AB129" s="500"/>
      <c r="AC129" s="500"/>
      <c r="AD129" s="500"/>
      <c r="AE129" s="500"/>
      <c r="AF129" s="1558">
        <v>11</v>
      </c>
    </row>
    <row r="130" spans="1:32" s="2212" customFormat="1" ht="11.5" customHeight="1">
      <c r="A130" s="909"/>
      <c r="B130" s="1553"/>
      <c r="C130" s="1553"/>
      <c r="D130" s="285"/>
      <c r="K130" s="1077"/>
      <c r="L130" s="1553"/>
      <c r="M130" s="1553"/>
      <c r="N130" s="1077"/>
      <c r="O130" s="1077"/>
      <c r="P130" s="1077"/>
      <c r="Q130" s="1077"/>
      <c r="R130" s="1553"/>
      <c r="S130" s="1077"/>
      <c r="T130" s="1077"/>
      <c r="U130" s="478"/>
      <c r="V130" s="1077"/>
      <c r="W130" s="1077"/>
      <c r="X130" s="1077"/>
      <c r="Y130" s="1077"/>
      <c r="Z130" s="1077"/>
      <c r="AA130" s="1549"/>
      <c r="AB130" s="500"/>
      <c r="AC130" s="500"/>
      <c r="AD130" s="500"/>
      <c r="AE130" s="500"/>
      <c r="AF130" s="1558">
        <v>11</v>
      </c>
    </row>
    <row r="131" spans="1:32" s="2212" customFormat="1" ht="11.5" customHeight="1">
      <c r="A131" s="909"/>
      <c r="B131" s="1553"/>
      <c r="C131" s="1553"/>
      <c r="D131" s="285"/>
      <c r="K131" s="1077"/>
      <c r="L131" s="1553"/>
      <c r="M131" s="1553"/>
      <c r="N131" s="1077"/>
      <c r="O131" s="1077"/>
      <c r="P131" s="1077"/>
      <c r="Q131" s="1077"/>
      <c r="R131" s="1553"/>
      <c r="S131" s="1077"/>
      <c r="T131" s="1077"/>
      <c r="U131" s="478"/>
      <c r="V131" s="1077"/>
      <c r="W131" s="1077"/>
      <c r="X131" s="1077"/>
      <c r="Y131" s="1077"/>
      <c r="Z131" s="1077"/>
      <c r="AA131" s="1549"/>
      <c r="AB131" s="500"/>
      <c r="AC131" s="500"/>
      <c r="AD131" s="500"/>
      <c r="AE131" s="500"/>
      <c r="AF131" s="1558">
        <v>11</v>
      </c>
    </row>
    <row r="132" spans="1:32" s="2212" customFormat="1" ht="11.5" customHeight="1">
      <c r="A132" s="909"/>
      <c r="B132" s="1553"/>
      <c r="C132" s="1553"/>
      <c r="D132" s="285"/>
      <c r="K132" s="1077"/>
      <c r="L132" s="1553"/>
      <c r="M132" s="1553"/>
      <c r="N132" s="1077"/>
      <c r="O132" s="1077"/>
      <c r="P132" s="1077"/>
      <c r="Q132" s="1077"/>
      <c r="R132" s="1553"/>
      <c r="S132" s="1077"/>
      <c r="T132" s="1077"/>
      <c r="U132" s="478"/>
      <c r="V132" s="1077"/>
      <c r="W132" s="1077"/>
      <c r="X132" s="1077"/>
      <c r="Y132" s="1077"/>
      <c r="Z132" s="1077"/>
      <c r="AA132" s="1549"/>
      <c r="AB132" s="500"/>
      <c r="AC132" s="500"/>
      <c r="AD132" s="500"/>
      <c r="AE132" s="500"/>
      <c r="AF132" s="1558">
        <v>11</v>
      </c>
    </row>
    <row r="133" spans="1:32" s="2212" customFormat="1" ht="11.5" customHeight="1">
      <c r="A133" s="909"/>
      <c r="B133" s="1553"/>
      <c r="C133" s="1553"/>
      <c r="D133" s="285"/>
      <c r="K133" s="1077"/>
      <c r="L133" s="1553"/>
      <c r="M133" s="1553"/>
      <c r="N133" s="1077"/>
      <c r="O133" s="1077"/>
      <c r="P133" s="1077"/>
      <c r="Q133" s="1077"/>
      <c r="R133" s="1553"/>
      <c r="S133" s="1077"/>
      <c r="T133" s="1077"/>
      <c r="U133" s="478"/>
      <c r="V133" s="1077"/>
      <c r="W133" s="1077"/>
      <c r="X133" s="1077"/>
      <c r="Y133" s="1077"/>
      <c r="Z133" s="1077"/>
      <c r="AA133" s="1549"/>
      <c r="AB133" s="500"/>
      <c r="AC133" s="500"/>
      <c r="AD133" s="500"/>
      <c r="AE133" s="500"/>
      <c r="AF133" s="1558">
        <v>11</v>
      </c>
    </row>
    <row r="134" spans="1:32" s="2212" customFormat="1" ht="11.5" customHeight="1">
      <c r="A134" s="909"/>
      <c r="B134" s="1553"/>
      <c r="C134" s="1553"/>
      <c r="D134" s="285"/>
      <c r="K134" s="1077"/>
      <c r="L134" s="1553"/>
      <c r="M134" s="1553"/>
      <c r="N134" s="1077"/>
      <c r="O134" s="1077"/>
      <c r="P134" s="1077"/>
      <c r="Q134" s="1077"/>
      <c r="R134" s="1553"/>
      <c r="S134" s="1077"/>
      <c r="T134" s="1077"/>
      <c r="U134" s="478"/>
      <c r="V134" s="1077"/>
      <c r="W134" s="1077"/>
      <c r="X134" s="1077"/>
      <c r="Y134" s="1077"/>
      <c r="Z134" s="1077"/>
      <c r="AA134" s="1549"/>
      <c r="AB134" s="500"/>
      <c r="AC134" s="500"/>
      <c r="AD134" s="500"/>
      <c r="AE134" s="500"/>
      <c r="AF134" s="1558">
        <v>11</v>
      </c>
    </row>
    <row r="135" spans="1:32" s="2212" customFormat="1" ht="11.5" customHeight="1">
      <c r="A135" s="909"/>
      <c r="B135" s="1553"/>
      <c r="C135" s="1553"/>
      <c r="D135" s="285"/>
      <c r="K135" s="1077"/>
      <c r="L135" s="1553"/>
      <c r="M135" s="1553"/>
      <c r="N135" s="1077"/>
      <c r="O135" s="1077"/>
      <c r="P135" s="1077"/>
      <c r="Q135" s="1077"/>
      <c r="R135" s="1553"/>
      <c r="S135" s="1077"/>
      <c r="T135" s="1077"/>
      <c r="U135" s="478"/>
      <c r="V135" s="1077"/>
      <c r="W135" s="1077"/>
      <c r="X135" s="1077"/>
      <c r="Y135" s="1077"/>
      <c r="Z135" s="1077"/>
      <c r="AA135" s="1549"/>
      <c r="AB135" s="500"/>
      <c r="AC135" s="500"/>
      <c r="AD135" s="500"/>
      <c r="AE135" s="500"/>
      <c r="AF135" s="1558">
        <v>11</v>
      </c>
    </row>
    <row r="136" spans="1:32" s="2212" customFormat="1" ht="11.5" customHeight="1">
      <c r="A136" s="909"/>
      <c r="B136" s="1553"/>
      <c r="C136" s="1553"/>
      <c r="D136" s="285"/>
      <c r="K136" s="1077"/>
      <c r="L136" s="1553"/>
      <c r="M136" s="1553"/>
      <c r="N136" s="1077"/>
      <c r="O136" s="1077"/>
      <c r="P136" s="1077"/>
      <c r="Q136" s="1077"/>
      <c r="R136" s="1553"/>
      <c r="S136" s="1077"/>
      <c r="T136" s="1077"/>
      <c r="U136" s="478"/>
      <c r="V136" s="1077"/>
      <c r="W136" s="1077"/>
      <c r="X136" s="1077"/>
      <c r="Y136" s="1077"/>
      <c r="Z136" s="1077"/>
      <c r="AA136" s="1549"/>
      <c r="AB136" s="500"/>
      <c r="AC136" s="500"/>
      <c r="AD136" s="500"/>
      <c r="AE136" s="500"/>
      <c r="AF136" s="1558">
        <v>11</v>
      </c>
    </row>
    <row r="137" spans="1:32" s="2212" customFormat="1" ht="11.5" customHeight="1">
      <c r="A137" s="909"/>
      <c r="B137" s="1553"/>
      <c r="C137" s="1553"/>
      <c r="D137" s="285"/>
      <c r="K137" s="1077"/>
      <c r="L137" s="1553"/>
      <c r="M137" s="1553"/>
      <c r="N137" s="1077"/>
      <c r="O137" s="1077"/>
      <c r="P137" s="1077"/>
      <c r="Q137" s="1077"/>
      <c r="R137" s="1553"/>
      <c r="S137" s="1077"/>
      <c r="T137" s="1077"/>
      <c r="U137" s="478"/>
      <c r="V137" s="1077"/>
      <c r="W137" s="1077"/>
      <c r="X137" s="1077"/>
      <c r="Y137" s="1077"/>
      <c r="Z137" s="1077"/>
      <c r="AA137" s="1549"/>
      <c r="AB137" s="500"/>
      <c r="AC137" s="500"/>
      <c r="AD137" s="500"/>
      <c r="AE137" s="500"/>
      <c r="AF137" s="1558">
        <v>11</v>
      </c>
    </row>
    <row r="138" spans="1:32" s="2212" customFormat="1" ht="11.5" customHeight="1">
      <c r="A138" s="909"/>
      <c r="B138" s="1553"/>
      <c r="C138" s="1553"/>
      <c r="D138" s="285"/>
      <c r="K138" s="1077"/>
      <c r="L138" s="1553"/>
      <c r="M138" s="1553"/>
      <c r="N138" s="1077"/>
      <c r="O138" s="1077"/>
      <c r="P138" s="1077"/>
      <c r="Q138" s="1077"/>
      <c r="R138" s="1553"/>
      <c r="S138" s="1077"/>
      <c r="T138" s="1077"/>
      <c r="U138" s="478"/>
      <c r="V138" s="1077"/>
      <c r="W138" s="1077"/>
      <c r="X138" s="1077"/>
      <c r="Y138" s="1077"/>
      <c r="Z138" s="1077"/>
      <c r="AA138" s="1549"/>
      <c r="AB138" s="500"/>
      <c r="AC138" s="500"/>
      <c r="AD138" s="500"/>
      <c r="AE138" s="500"/>
      <c r="AF138" s="1558">
        <v>11</v>
      </c>
    </row>
    <row r="139" spans="1:32" s="2212" customFormat="1" ht="11.5" customHeight="1">
      <c r="A139" s="909"/>
      <c r="B139" s="1553"/>
      <c r="C139" s="1553"/>
      <c r="D139" s="285"/>
      <c r="K139" s="1077"/>
      <c r="L139" s="1553"/>
      <c r="M139" s="1553"/>
      <c r="N139" s="1077"/>
      <c r="O139" s="1077"/>
      <c r="P139" s="1077"/>
      <c r="Q139" s="1077"/>
      <c r="R139" s="1553"/>
      <c r="S139" s="1077"/>
      <c r="T139" s="1077"/>
      <c r="U139" s="478"/>
      <c r="V139" s="1077"/>
      <c r="W139" s="1077"/>
      <c r="X139" s="1077"/>
      <c r="Y139" s="1077"/>
      <c r="Z139" s="1077"/>
      <c r="AA139" s="1549"/>
      <c r="AB139" s="500"/>
      <c r="AC139" s="500"/>
      <c r="AD139" s="500"/>
      <c r="AE139" s="500"/>
      <c r="AF139" s="1558">
        <v>11</v>
      </c>
    </row>
    <row r="140" spans="1:32" s="2212" customFormat="1" ht="11.5" customHeight="1">
      <c r="A140" s="909"/>
      <c r="B140" s="1553"/>
      <c r="C140" s="1553"/>
      <c r="D140" s="285"/>
      <c r="K140" s="1077"/>
      <c r="L140" s="1553"/>
      <c r="M140" s="1553"/>
      <c r="N140" s="1077"/>
      <c r="O140" s="1077"/>
      <c r="P140" s="1077"/>
      <c r="Q140" s="1077"/>
      <c r="R140" s="1553"/>
      <c r="S140" s="1077"/>
      <c r="T140" s="1077"/>
      <c r="U140" s="478"/>
      <c r="V140" s="1077"/>
      <c r="W140" s="1077"/>
      <c r="X140" s="1077"/>
      <c r="Y140" s="1077"/>
      <c r="Z140" s="1077"/>
      <c r="AA140" s="1549"/>
      <c r="AB140" s="500"/>
      <c r="AC140" s="500"/>
      <c r="AD140" s="500"/>
      <c r="AE140" s="500"/>
      <c r="AF140" s="1558">
        <v>11</v>
      </c>
    </row>
    <row r="141" spans="1:32" s="2212" customFormat="1" ht="11.5" customHeight="1">
      <c r="A141" s="909"/>
      <c r="B141" s="1553"/>
      <c r="C141" s="1553"/>
      <c r="D141" s="285"/>
      <c r="K141" s="1077"/>
      <c r="L141" s="1553"/>
      <c r="M141" s="1553"/>
      <c r="N141" s="1077"/>
      <c r="O141" s="1077"/>
      <c r="P141" s="1077"/>
      <c r="Q141" s="1077"/>
      <c r="R141" s="1553"/>
      <c r="S141" s="1077"/>
      <c r="T141" s="1077"/>
      <c r="U141" s="478"/>
      <c r="V141" s="1077"/>
      <c r="W141" s="1077"/>
      <c r="X141" s="1077"/>
      <c r="Y141" s="1077"/>
      <c r="Z141" s="1077"/>
      <c r="AA141" s="1549"/>
      <c r="AB141" s="500"/>
      <c r="AC141" s="500"/>
      <c r="AD141" s="500"/>
      <c r="AE141" s="500"/>
      <c r="AF141" s="1558">
        <v>11</v>
      </c>
    </row>
    <row r="142" spans="1:32" s="2212" customFormat="1" ht="11.5" customHeight="1">
      <c r="A142" s="909"/>
      <c r="B142" s="1553"/>
      <c r="C142" s="1553"/>
      <c r="D142" s="285"/>
      <c r="K142" s="1077"/>
      <c r="L142" s="1553"/>
      <c r="M142" s="1553"/>
      <c r="N142" s="1077"/>
      <c r="O142" s="1077"/>
      <c r="P142" s="1077"/>
      <c r="Q142" s="1077"/>
      <c r="R142" s="1553"/>
      <c r="S142" s="1077"/>
      <c r="T142" s="1077"/>
      <c r="U142" s="478"/>
      <c r="V142" s="1077"/>
      <c r="W142" s="1077"/>
      <c r="X142" s="1077"/>
      <c r="Y142" s="1077"/>
      <c r="Z142" s="1077"/>
      <c r="AA142" s="1549"/>
      <c r="AB142" s="500"/>
      <c r="AC142" s="500"/>
      <c r="AD142" s="500"/>
      <c r="AE142" s="500"/>
      <c r="AF142" s="1558">
        <v>11</v>
      </c>
    </row>
    <row r="143" spans="1:32" s="2212" customFormat="1" ht="11.5" customHeight="1">
      <c r="A143" s="909"/>
      <c r="B143" s="1553"/>
      <c r="C143" s="1553"/>
      <c r="D143" s="285"/>
      <c r="K143" s="1077"/>
      <c r="L143" s="1553"/>
      <c r="M143" s="1553"/>
      <c r="N143" s="1077"/>
      <c r="O143" s="1077"/>
      <c r="P143" s="1077"/>
      <c r="Q143" s="1077"/>
      <c r="R143" s="1553"/>
      <c r="S143" s="1077"/>
      <c r="T143" s="1077"/>
      <c r="U143" s="478"/>
      <c r="V143" s="1077"/>
      <c r="W143" s="1077"/>
      <c r="X143" s="1077"/>
      <c r="Y143" s="1077"/>
      <c r="Z143" s="1077"/>
      <c r="AA143" s="1549"/>
      <c r="AB143" s="500"/>
      <c r="AC143" s="500"/>
      <c r="AD143" s="500"/>
      <c r="AE143" s="500"/>
      <c r="AF143" s="1558">
        <v>11</v>
      </c>
    </row>
    <row r="144" spans="1:32" s="2212" customFormat="1" ht="11.5" customHeight="1">
      <c r="A144" s="909"/>
      <c r="B144" s="1553"/>
      <c r="C144" s="1553"/>
      <c r="D144" s="285"/>
      <c r="K144" s="1077"/>
      <c r="L144" s="1553"/>
      <c r="M144" s="1553"/>
      <c r="N144" s="1077"/>
      <c r="O144" s="1077"/>
      <c r="P144" s="1077"/>
      <c r="Q144" s="1077"/>
      <c r="R144" s="1553"/>
      <c r="S144" s="1077"/>
      <c r="T144" s="1077"/>
      <c r="U144" s="478"/>
      <c r="V144" s="1077"/>
      <c r="W144" s="1077"/>
      <c r="X144" s="1077"/>
      <c r="Y144" s="1077"/>
      <c r="Z144" s="1077"/>
      <c r="AA144" s="1549"/>
      <c r="AB144" s="500"/>
      <c r="AC144" s="500"/>
      <c r="AD144" s="500"/>
      <c r="AE144" s="500"/>
      <c r="AF144" s="1558">
        <v>11</v>
      </c>
    </row>
    <row r="145" spans="1:32" s="2212" customFormat="1" ht="11.5" customHeight="1">
      <c r="A145" s="909"/>
      <c r="B145" s="1553"/>
      <c r="C145" s="1553"/>
      <c r="D145" s="285"/>
      <c r="K145" s="1077"/>
      <c r="L145" s="1553"/>
      <c r="M145" s="1553"/>
      <c r="N145" s="1077"/>
      <c r="O145" s="1077"/>
      <c r="P145" s="1077"/>
      <c r="Q145" s="1077"/>
      <c r="R145" s="1553"/>
      <c r="S145" s="1077"/>
      <c r="T145" s="1077"/>
      <c r="U145" s="478"/>
      <c r="V145" s="1077"/>
      <c r="W145" s="1077"/>
      <c r="X145" s="1077"/>
      <c r="Y145" s="1077"/>
      <c r="Z145" s="1077"/>
      <c r="AA145" s="1549"/>
      <c r="AB145" s="500"/>
      <c r="AC145" s="500"/>
      <c r="AD145" s="500"/>
      <c r="AE145" s="500"/>
      <c r="AF145" s="1558">
        <v>11</v>
      </c>
    </row>
    <row r="146" spans="1:32" s="2212" customFormat="1" ht="11.5" customHeight="1">
      <c r="A146" s="909"/>
      <c r="B146" s="1553"/>
      <c r="C146" s="1553"/>
      <c r="D146" s="285"/>
      <c r="K146" s="1077"/>
      <c r="L146" s="1553"/>
      <c r="M146" s="1553"/>
      <c r="N146" s="1077"/>
      <c r="O146" s="1077"/>
      <c r="P146" s="1077"/>
      <c r="Q146" s="1077"/>
      <c r="R146" s="1553"/>
      <c r="S146" s="1077"/>
      <c r="T146" s="1077"/>
      <c r="U146" s="478"/>
      <c r="V146" s="1077"/>
      <c r="W146" s="1077"/>
      <c r="X146" s="1077"/>
      <c r="Y146" s="1077"/>
      <c r="Z146" s="1077"/>
      <c r="AA146" s="1549"/>
      <c r="AB146" s="500"/>
      <c r="AC146" s="500"/>
      <c r="AD146" s="500"/>
      <c r="AE146" s="500"/>
      <c r="AF146" s="1558">
        <v>11</v>
      </c>
    </row>
    <row r="147" spans="1:32" s="2212" customFormat="1" ht="11.5" customHeight="1">
      <c r="A147" s="909"/>
      <c r="B147" s="1553"/>
      <c r="C147" s="1553"/>
      <c r="D147" s="285"/>
      <c r="K147" s="1077"/>
      <c r="L147" s="1553"/>
      <c r="M147" s="1553"/>
      <c r="N147" s="1077"/>
      <c r="O147" s="1077"/>
      <c r="P147" s="1077"/>
      <c r="Q147" s="1077"/>
      <c r="R147" s="1553"/>
      <c r="S147" s="1077"/>
      <c r="T147" s="1077"/>
      <c r="U147" s="478"/>
      <c r="V147" s="1077"/>
      <c r="W147" s="1077"/>
      <c r="X147" s="1077"/>
      <c r="Y147" s="1077"/>
      <c r="Z147" s="1077"/>
      <c r="AA147" s="1549"/>
      <c r="AB147" s="500"/>
      <c r="AC147" s="500"/>
      <c r="AD147" s="500"/>
      <c r="AE147" s="500"/>
      <c r="AF147" s="1558">
        <v>11</v>
      </c>
    </row>
    <row r="148" spans="1:32" s="2212" customFormat="1" ht="11.5" customHeight="1">
      <c r="A148" s="909"/>
      <c r="B148" s="1553"/>
      <c r="C148" s="1553"/>
      <c r="D148" s="285"/>
      <c r="K148" s="1077"/>
      <c r="L148" s="1553"/>
      <c r="M148" s="1553"/>
      <c r="N148" s="1077"/>
      <c r="O148" s="1077"/>
      <c r="P148" s="1077"/>
      <c r="Q148" s="1077"/>
      <c r="R148" s="1553"/>
      <c r="S148" s="1077"/>
      <c r="T148" s="1077"/>
      <c r="U148" s="478"/>
      <c r="V148" s="1077"/>
      <c r="W148" s="1077"/>
      <c r="X148" s="1077"/>
      <c r="Y148" s="1077"/>
      <c r="Z148" s="1077"/>
      <c r="AA148" s="1549"/>
      <c r="AB148" s="500"/>
      <c r="AC148" s="500"/>
      <c r="AD148" s="500"/>
      <c r="AE148" s="500"/>
      <c r="AF148" s="1558">
        <v>11</v>
      </c>
    </row>
    <row r="149" spans="1:32" s="2212" customFormat="1" ht="11.5" customHeight="1">
      <c r="A149" s="909"/>
      <c r="B149" s="1553"/>
      <c r="C149" s="1553"/>
      <c r="D149" s="285"/>
      <c r="K149" s="1077"/>
      <c r="L149" s="1553"/>
      <c r="M149" s="1553"/>
      <c r="N149" s="1077"/>
      <c r="O149" s="1077"/>
      <c r="P149" s="1077"/>
      <c r="Q149" s="1077"/>
      <c r="R149" s="1553"/>
      <c r="S149" s="1077"/>
      <c r="T149" s="1077"/>
      <c r="U149" s="478"/>
      <c r="V149" s="1077"/>
      <c r="W149" s="1077"/>
      <c r="X149" s="1077"/>
      <c r="Y149" s="1077"/>
      <c r="Z149" s="1077"/>
      <c r="AA149" s="1549"/>
      <c r="AB149" s="500"/>
      <c r="AC149" s="500"/>
      <c r="AD149" s="500"/>
      <c r="AE149" s="500"/>
      <c r="AF149" s="1558">
        <v>11</v>
      </c>
    </row>
    <row r="150" spans="1:32" s="2212" customFormat="1" ht="11.5" customHeight="1">
      <c r="A150" s="909"/>
      <c r="B150" s="1553"/>
      <c r="C150" s="1553"/>
      <c r="D150" s="285"/>
      <c r="K150" s="1077"/>
      <c r="L150" s="1553"/>
      <c r="M150" s="1553"/>
      <c r="N150" s="1077"/>
      <c r="O150" s="1077"/>
      <c r="P150" s="1077"/>
      <c r="Q150" s="1077"/>
      <c r="R150" s="1553"/>
      <c r="S150" s="1077"/>
      <c r="T150" s="1077"/>
      <c r="U150" s="478"/>
      <c r="V150" s="1077"/>
      <c r="W150" s="1077"/>
      <c r="X150" s="1077"/>
      <c r="Y150" s="1077"/>
      <c r="Z150" s="1077"/>
      <c r="AA150" s="1549"/>
      <c r="AB150" s="500"/>
      <c r="AC150" s="500"/>
      <c r="AD150" s="500"/>
      <c r="AE150" s="500"/>
      <c r="AF150" s="1558">
        <v>11</v>
      </c>
    </row>
    <row r="151" spans="1:32" s="2212" customFormat="1" ht="11.5" customHeight="1">
      <c r="A151" s="909"/>
      <c r="B151" s="1553"/>
      <c r="C151" s="1553"/>
      <c r="D151" s="285"/>
      <c r="K151" s="1077"/>
      <c r="L151" s="1553"/>
      <c r="M151" s="1553"/>
      <c r="N151" s="1077"/>
      <c r="O151" s="1077"/>
      <c r="P151" s="1077"/>
      <c r="Q151" s="1077"/>
      <c r="R151" s="1553"/>
      <c r="S151" s="1077"/>
      <c r="T151" s="1077"/>
      <c r="U151" s="478"/>
      <c r="V151" s="1077"/>
      <c r="W151" s="1077"/>
      <c r="X151" s="1077"/>
      <c r="Y151" s="1077"/>
      <c r="Z151" s="1077"/>
      <c r="AA151" s="1549"/>
      <c r="AB151" s="500"/>
      <c r="AC151" s="500"/>
      <c r="AD151" s="500"/>
      <c r="AE151" s="500"/>
      <c r="AF151" s="1558">
        <v>11</v>
      </c>
    </row>
    <row r="152" spans="1:32" s="2212" customFormat="1" ht="11.5" customHeight="1">
      <c r="A152" s="909"/>
      <c r="B152" s="1553"/>
      <c r="C152" s="1553"/>
      <c r="D152" s="285"/>
      <c r="K152" s="1077"/>
      <c r="L152" s="1553"/>
      <c r="M152" s="1553"/>
      <c r="N152" s="1077"/>
      <c r="O152" s="1077"/>
      <c r="P152" s="1077"/>
      <c r="Q152" s="1077"/>
      <c r="R152" s="1553"/>
      <c r="S152" s="1077"/>
      <c r="T152" s="1077"/>
      <c r="U152" s="478"/>
      <c r="V152" s="1077"/>
      <c r="W152" s="1077"/>
      <c r="X152" s="1077"/>
      <c r="Y152" s="1077"/>
      <c r="Z152" s="1077"/>
      <c r="AA152" s="1549"/>
      <c r="AB152" s="500"/>
      <c r="AC152" s="500"/>
      <c r="AD152" s="500"/>
      <c r="AE152" s="500"/>
      <c r="AF152" s="1558">
        <v>11</v>
      </c>
    </row>
    <row r="153" spans="1:32" s="2212" customFormat="1" ht="11.5" customHeight="1">
      <c r="A153" s="909"/>
      <c r="B153" s="1553"/>
      <c r="C153" s="1553"/>
      <c r="D153" s="285"/>
      <c r="K153" s="1077"/>
      <c r="L153" s="1553"/>
      <c r="M153" s="1553"/>
      <c r="N153" s="1077"/>
      <c r="O153" s="1077"/>
      <c r="P153" s="1077"/>
      <c r="Q153" s="1077"/>
      <c r="R153" s="1553"/>
      <c r="S153" s="1077"/>
      <c r="T153" s="1077"/>
      <c r="U153" s="478"/>
      <c r="V153" s="1077"/>
      <c r="W153" s="1077"/>
      <c r="X153" s="1077"/>
      <c r="Y153" s="1077"/>
      <c r="Z153" s="1077"/>
      <c r="AA153" s="1549"/>
      <c r="AB153" s="500"/>
      <c r="AC153" s="500"/>
      <c r="AD153" s="500"/>
      <c r="AE153" s="500"/>
      <c r="AF153" s="1558">
        <v>11</v>
      </c>
    </row>
    <row r="154" spans="1:32" s="2212" customFormat="1" ht="11.5" customHeight="1">
      <c r="A154" s="909"/>
      <c r="B154" s="1553"/>
      <c r="C154" s="1553"/>
      <c r="D154" s="285"/>
      <c r="K154" s="1077"/>
      <c r="L154" s="1553"/>
      <c r="M154" s="1553"/>
      <c r="N154" s="1077"/>
      <c r="O154" s="1077"/>
      <c r="P154" s="1077"/>
      <c r="Q154" s="1077"/>
      <c r="R154" s="1553"/>
      <c r="S154" s="1077"/>
      <c r="T154" s="1077"/>
      <c r="U154" s="478"/>
      <c r="V154" s="1077"/>
      <c r="W154" s="1077"/>
      <c r="X154" s="1077"/>
      <c r="Y154" s="1077"/>
      <c r="Z154" s="1077"/>
      <c r="AA154" s="1549"/>
      <c r="AB154" s="500"/>
      <c r="AC154" s="500"/>
      <c r="AD154" s="500"/>
      <c r="AE154" s="500"/>
      <c r="AF154" s="1558">
        <v>11</v>
      </c>
    </row>
    <row r="155" spans="1:32" s="2212" customFormat="1" ht="11.5" customHeight="1">
      <c r="A155" s="909"/>
      <c r="B155" s="1553"/>
      <c r="C155" s="1553"/>
      <c r="D155" s="285"/>
      <c r="K155" s="1077"/>
      <c r="L155" s="1553"/>
      <c r="M155" s="1553"/>
      <c r="N155" s="1077"/>
      <c r="O155" s="1077"/>
      <c r="P155" s="1077"/>
      <c r="Q155" s="1077"/>
      <c r="R155" s="1553"/>
      <c r="S155" s="1077"/>
      <c r="T155" s="1077"/>
      <c r="U155" s="478"/>
      <c r="V155" s="1077"/>
      <c r="W155" s="1077"/>
      <c r="X155" s="1077"/>
      <c r="Y155" s="1077"/>
      <c r="Z155" s="1077"/>
      <c r="AA155" s="1549"/>
      <c r="AB155" s="500"/>
      <c r="AC155" s="500"/>
      <c r="AD155" s="500"/>
      <c r="AE155" s="500"/>
      <c r="AF155" s="1558">
        <v>11</v>
      </c>
    </row>
    <row r="156" spans="1:32" s="2212" customFormat="1" ht="11.5" customHeight="1">
      <c r="A156" s="909"/>
      <c r="B156" s="1553"/>
      <c r="C156" s="1553"/>
      <c r="D156" s="285"/>
      <c r="K156" s="1077"/>
      <c r="L156" s="1553"/>
      <c r="M156" s="1553"/>
      <c r="N156" s="1077"/>
      <c r="O156" s="1077"/>
      <c r="P156" s="1077"/>
      <c r="Q156" s="1077"/>
      <c r="R156" s="1553"/>
      <c r="S156" s="1077"/>
      <c r="T156" s="1077"/>
      <c r="U156" s="478"/>
      <c r="V156" s="1077"/>
      <c r="W156" s="1077"/>
      <c r="X156" s="1077"/>
      <c r="Y156" s="1077"/>
      <c r="Z156" s="1077"/>
      <c r="AA156" s="1549"/>
      <c r="AB156" s="500"/>
      <c r="AC156" s="500"/>
      <c r="AD156" s="500"/>
      <c r="AE156" s="500"/>
      <c r="AF156" s="1558">
        <v>11</v>
      </c>
    </row>
    <row r="157" spans="1:32" s="2212" customFormat="1" ht="11.5" customHeight="1">
      <c r="A157" s="909"/>
      <c r="B157" s="1553"/>
      <c r="C157" s="1553"/>
      <c r="D157" s="285"/>
      <c r="K157" s="1077"/>
      <c r="L157" s="1553"/>
      <c r="M157" s="1553"/>
      <c r="N157" s="1077"/>
      <c r="O157" s="1077"/>
      <c r="P157" s="1077"/>
      <c r="Q157" s="1077"/>
      <c r="R157" s="1553"/>
      <c r="S157" s="1077"/>
      <c r="T157" s="1077"/>
      <c r="U157" s="478"/>
      <c r="V157" s="1077"/>
      <c r="W157" s="1077"/>
      <c r="X157" s="1077"/>
      <c r="Y157" s="1077"/>
      <c r="Z157" s="1077"/>
      <c r="AA157" s="1549"/>
      <c r="AB157" s="500"/>
      <c r="AC157" s="500"/>
      <c r="AD157" s="500"/>
      <c r="AE157" s="500"/>
      <c r="AF157" s="1558">
        <v>11</v>
      </c>
    </row>
    <row r="158" spans="1:32" s="2212" customFormat="1" ht="11.5" customHeight="1">
      <c r="A158" s="909"/>
      <c r="B158" s="1553"/>
      <c r="C158" s="1553"/>
      <c r="D158" s="285"/>
      <c r="K158" s="1077"/>
      <c r="L158" s="1553"/>
      <c r="M158" s="1553"/>
      <c r="N158" s="1077"/>
      <c r="O158" s="1077"/>
      <c r="P158" s="1077"/>
      <c r="Q158" s="1077"/>
      <c r="R158" s="1553"/>
      <c r="S158" s="1077"/>
      <c r="T158" s="1077"/>
      <c r="U158" s="478"/>
      <c r="V158" s="1077"/>
      <c r="W158" s="1077"/>
      <c r="X158" s="1077"/>
      <c r="Y158" s="1077"/>
      <c r="Z158" s="1077"/>
      <c r="AA158" s="1549"/>
      <c r="AB158" s="500"/>
      <c r="AC158" s="500"/>
      <c r="AD158" s="500"/>
      <c r="AE158" s="500"/>
      <c r="AF158" s="1558">
        <v>11</v>
      </c>
    </row>
    <row r="159" spans="1:32" s="2212" customFormat="1" ht="11.5" customHeight="1">
      <c r="A159" s="909"/>
      <c r="B159" s="1553"/>
      <c r="C159" s="1553"/>
      <c r="D159" s="285"/>
      <c r="K159" s="1077"/>
      <c r="L159" s="1553"/>
      <c r="M159" s="1553"/>
      <c r="N159" s="1077"/>
      <c r="O159" s="1077"/>
      <c r="P159" s="1077"/>
      <c r="Q159" s="1077"/>
      <c r="R159" s="1553"/>
      <c r="S159" s="1077"/>
      <c r="T159" s="1077"/>
      <c r="U159" s="478"/>
      <c r="V159" s="1077"/>
      <c r="W159" s="1077"/>
      <c r="X159" s="1077"/>
      <c r="Y159" s="1077"/>
      <c r="Z159" s="1077"/>
      <c r="AA159" s="1549"/>
      <c r="AB159" s="500"/>
      <c r="AC159" s="500"/>
      <c r="AD159" s="500"/>
      <c r="AE159" s="500"/>
      <c r="AF159" s="1558">
        <v>11</v>
      </c>
    </row>
    <row r="160" spans="1:32" s="2212" customFormat="1" ht="11.5" customHeight="1">
      <c r="A160" s="909"/>
      <c r="B160" s="1553"/>
      <c r="C160" s="1553"/>
      <c r="D160" s="285"/>
      <c r="K160" s="1077"/>
      <c r="L160" s="1553"/>
      <c r="M160" s="1553"/>
      <c r="N160" s="1077"/>
      <c r="O160" s="1077"/>
      <c r="P160" s="1077"/>
      <c r="Q160" s="1077"/>
      <c r="R160" s="1553"/>
      <c r="S160" s="1077"/>
      <c r="T160" s="1077"/>
      <c r="U160" s="478"/>
      <c r="V160" s="1077"/>
      <c r="W160" s="1077"/>
      <c r="X160" s="1077"/>
      <c r="Y160" s="1077"/>
      <c r="Z160" s="1077"/>
      <c r="AA160" s="1549"/>
      <c r="AB160" s="500"/>
      <c r="AC160" s="500"/>
      <c r="AD160" s="500"/>
      <c r="AE160" s="500"/>
      <c r="AF160" s="1558">
        <v>11</v>
      </c>
    </row>
    <row r="161" spans="1:32" s="2212" customFormat="1" ht="11.5" customHeight="1">
      <c r="A161" s="909"/>
      <c r="B161" s="1553"/>
      <c r="C161" s="1553"/>
      <c r="D161" s="285"/>
      <c r="K161" s="1077"/>
      <c r="L161" s="1553"/>
      <c r="M161" s="1553"/>
      <c r="N161" s="1077"/>
      <c r="O161" s="1077"/>
      <c r="P161" s="1077"/>
      <c r="Q161" s="1077"/>
      <c r="R161" s="1553"/>
      <c r="S161" s="1077"/>
      <c r="T161" s="1077"/>
      <c r="U161" s="478"/>
      <c r="V161" s="1077"/>
      <c r="W161" s="1077"/>
      <c r="X161" s="1077"/>
      <c r="Y161" s="1077"/>
      <c r="Z161" s="1077"/>
      <c r="AA161" s="1549"/>
      <c r="AB161" s="500"/>
      <c r="AC161" s="500"/>
      <c r="AD161" s="500"/>
      <c r="AE161" s="500"/>
      <c r="AF161" s="1558">
        <v>11</v>
      </c>
    </row>
    <row r="162" spans="1:32" s="2212" customFormat="1" ht="11.5" customHeight="1">
      <c r="A162" s="909"/>
      <c r="B162" s="1553"/>
      <c r="C162" s="1553"/>
      <c r="D162" s="285"/>
      <c r="K162" s="1077"/>
      <c r="L162" s="1553"/>
      <c r="M162" s="1553"/>
      <c r="N162" s="1077"/>
      <c r="O162" s="1077"/>
      <c r="P162" s="1077"/>
      <c r="Q162" s="1077"/>
      <c r="R162" s="1553"/>
      <c r="S162" s="1077"/>
      <c r="T162" s="1077"/>
      <c r="U162" s="478"/>
      <c r="V162" s="1077"/>
      <c r="W162" s="1077"/>
      <c r="X162" s="1077"/>
      <c r="Y162" s="1077"/>
      <c r="Z162" s="1077"/>
      <c r="AA162" s="1549"/>
      <c r="AB162" s="500"/>
      <c r="AC162" s="500"/>
      <c r="AD162" s="500"/>
      <c r="AE162" s="500"/>
      <c r="AF162" s="1558">
        <v>11</v>
      </c>
    </row>
    <row r="163" spans="1:32" s="2212" customFormat="1" ht="11.5" customHeight="1">
      <c r="A163" s="909"/>
      <c r="B163" s="1553"/>
      <c r="C163" s="1553"/>
      <c r="D163" s="285"/>
      <c r="K163" s="1077"/>
      <c r="L163" s="1553"/>
      <c r="M163" s="1553"/>
      <c r="N163" s="1077"/>
      <c r="O163" s="1077"/>
      <c r="P163" s="1077"/>
      <c r="Q163" s="1077"/>
      <c r="R163" s="1553"/>
      <c r="S163" s="1077"/>
      <c r="T163" s="1077"/>
      <c r="U163" s="478"/>
      <c r="V163" s="1077"/>
      <c r="W163" s="1077"/>
      <c r="X163" s="1077"/>
      <c r="Y163" s="1077"/>
      <c r="Z163" s="1077"/>
      <c r="AA163" s="1549"/>
      <c r="AB163" s="500"/>
      <c r="AC163" s="500"/>
      <c r="AD163" s="500"/>
      <c r="AE163" s="500"/>
      <c r="AF163" s="1558">
        <v>11</v>
      </c>
    </row>
    <row r="164" spans="1:32" s="2212" customFormat="1" ht="11.5" customHeight="1">
      <c r="A164" s="909"/>
      <c r="B164" s="1553"/>
      <c r="C164" s="1553"/>
      <c r="D164" s="285"/>
      <c r="K164" s="1077"/>
      <c r="L164" s="1553"/>
      <c r="M164" s="1553"/>
      <c r="N164" s="1077"/>
      <c r="O164" s="1077"/>
      <c r="P164" s="1077"/>
      <c r="Q164" s="1077"/>
      <c r="R164" s="1553"/>
      <c r="S164" s="1077"/>
      <c r="T164" s="1077"/>
      <c r="U164" s="478"/>
      <c r="V164" s="1077"/>
      <c r="W164" s="1077"/>
      <c r="X164" s="1077"/>
      <c r="Y164" s="1077"/>
      <c r="Z164" s="1077"/>
      <c r="AA164" s="1549"/>
      <c r="AB164" s="500"/>
      <c r="AC164" s="500"/>
      <c r="AD164" s="500"/>
      <c r="AE164" s="500"/>
      <c r="AF164" s="1558">
        <v>11</v>
      </c>
    </row>
    <row r="165" spans="1:32" s="2212" customFormat="1" ht="11.5" customHeight="1">
      <c r="A165" s="909"/>
      <c r="B165" s="1553"/>
      <c r="C165" s="1553"/>
      <c r="D165" s="285"/>
      <c r="K165" s="1077"/>
      <c r="L165" s="1553"/>
      <c r="M165" s="1553"/>
      <c r="N165" s="1077"/>
      <c r="O165" s="1077"/>
      <c r="P165" s="1077"/>
      <c r="Q165" s="1077"/>
      <c r="R165" s="1553"/>
      <c r="S165" s="1077"/>
      <c r="T165" s="1077"/>
      <c r="U165" s="478"/>
      <c r="V165" s="1077"/>
      <c r="W165" s="1077"/>
      <c r="X165" s="1077"/>
      <c r="Y165" s="1077"/>
      <c r="Z165" s="1077"/>
      <c r="AA165" s="1549"/>
      <c r="AB165" s="500"/>
      <c r="AC165" s="500"/>
      <c r="AD165" s="500"/>
      <c r="AE165" s="500"/>
      <c r="AF165" s="1558">
        <v>11</v>
      </c>
    </row>
    <row r="166" spans="1:32" s="2212" customFormat="1" ht="11.5" customHeight="1">
      <c r="A166" s="909"/>
      <c r="B166" s="1553"/>
      <c r="C166" s="1553"/>
      <c r="D166" s="285"/>
      <c r="K166" s="1077"/>
      <c r="L166" s="1553"/>
      <c r="M166" s="1553"/>
      <c r="N166" s="1077"/>
      <c r="O166" s="1077"/>
      <c r="P166" s="1077"/>
      <c r="Q166" s="1077"/>
      <c r="R166" s="1553"/>
      <c r="S166" s="1077"/>
      <c r="T166" s="1077"/>
      <c r="U166" s="478"/>
      <c r="V166" s="1077"/>
      <c r="W166" s="1077"/>
      <c r="X166" s="1077"/>
      <c r="Y166" s="1077"/>
      <c r="Z166" s="1077"/>
      <c r="AA166" s="1549"/>
      <c r="AB166" s="500"/>
      <c r="AC166" s="500"/>
      <c r="AD166" s="500"/>
      <c r="AE166" s="500"/>
      <c r="AF166" s="1558">
        <v>11</v>
      </c>
    </row>
    <row r="167" spans="1:32" s="2212" customFormat="1" ht="11.5" customHeight="1">
      <c r="A167" s="909"/>
      <c r="B167" s="1553"/>
      <c r="C167" s="1553"/>
      <c r="D167" s="285"/>
      <c r="K167" s="1077"/>
      <c r="L167" s="1553"/>
      <c r="M167" s="1553"/>
      <c r="N167" s="1077"/>
      <c r="O167" s="1077"/>
      <c r="P167" s="1077"/>
      <c r="Q167" s="1077"/>
      <c r="R167" s="1553"/>
      <c r="S167" s="1077"/>
      <c r="T167" s="1077"/>
      <c r="U167" s="478"/>
      <c r="V167" s="1077"/>
      <c r="W167" s="1077"/>
      <c r="X167" s="1077"/>
      <c r="Y167" s="1077"/>
      <c r="Z167" s="1077"/>
      <c r="AA167" s="1549"/>
      <c r="AB167" s="500"/>
      <c r="AC167" s="500"/>
      <c r="AD167" s="500"/>
      <c r="AE167" s="500"/>
      <c r="AF167" s="1558">
        <v>11</v>
      </c>
    </row>
    <row r="168" spans="1:32" s="2212" customFormat="1" ht="11.5" customHeight="1">
      <c r="A168" s="909"/>
      <c r="B168" s="1553"/>
      <c r="C168" s="1553"/>
      <c r="D168" s="285"/>
      <c r="K168" s="1077"/>
      <c r="L168" s="1553"/>
      <c r="M168" s="1553"/>
      <c r="N168" s="1077"/>
      <c r="O168" s="1077"/>
      <c r="P168" s="1077"/>
      <c r="Q168" s="1077"/>
      <c r="R168" s="1553"/>
      <c r="S168" s="1077"/>
      <c r="T168" s="1077"/>
      <c r="U168" s="478"/>
      <c r="V168" s="1077"/>
      <c r="W168" s="1077"/>
      <c r="X168" s="1077"/>
      <c r="Y168" s="1077"/>
      <c r="Z168" s="1077"/>
      <c r="AA168" s="1549"/>
      <c r="AB168" s="500"/>
      <c r="AC168" s="500"/>
      <c r="AD168" s="500"/>
      <c r="AE168" s="500"/>
      <c r="AF168" s="1558">
        <v>11</v>
      </c>
    </row>
    <row r="169" spans="1:32" s="2212" customFormat="1" ht="11.5" customHeight="1">
      <c r="A169" s="909"/>
      <c r="B169" s="1553"/>
      <c r="C169" s="1553"/>
      <c r="D169" s="285"/>
      <c r="K169" s="1077"/>
      <c r="L169" s="1553"/>
      <c r="M169" s="1553"/>
      <c r="N169" s="1077"/>
      <c r="O169" s="1077"/>
      <c r="P169" s="1077"/>
      <c r="Q169" s="1077"/>
      <c r="R169" s="1553"/>
      <c r="S169" s="1077"/>
      <c r="T169" s="1077"/>
      <c r="U169" s="478"/>
      <c r="V169" s="1077"/>
      <c r="W169" s="1077"/>
      <c r="X169" s="1077"/>
      <c r="Y169" s="1077"/>
      <c r="Z169" s="1077"/>
      <c r="AA169" s="1549"/>
      <c r="AB169" s="500"/>
      <c r="AC169" s="500"/>
      <c r="AD169" s="500"/>
      <c r="AE169" s="500"/>
      <c r="AF169" s="1558">
        <v>11</v>
      </c>
    </row>
    <row r="170" spans="1:32" s="2212" customFormat="1" ht="11.5" customHeight="1">
      <c r="A170" s="909"/>
      <c r="B170" s="1553"/>
      <c r="C170" s="1553"/>
      <c r="D170" s="285"/>
      <c r="K170" s="1077"/>
      <c r="L170" s="1553"/>
      <c r="M170" s="1553"/>
      <c r="N170" s="1077"/>
      <c r="O170" s="1077"/>
      <c r="P170" s="1077"/>
      <c r="Q170" s="1077"/>
      <c r="R170" s="1553"/>
      <c r="S170" s="1077"/>
      <c r="T170" s="1077"/>
      <c r="U170" s="478"/>
      <c r="V170" s="1077"/>
      <c r="W170" s="1077"/>
      <c r="X170" s="1077"/>
      <c r="Y170" s="1077"/>
      <c r="Z170" s="1077"/>
      <c r="AA170" s="1549"/>
      <c r="AB170" s="500"/>
      <c r="AC170" s="500"/>
      <c r="AD170" s="500"/>
      <c r="AE170" s="500"/>
      <c r="AF170" s="1558">
        <v>11</v>
      </c>
    </row>
    <row r="171" spans="1:32" s="2212" customFormat="1" ht="11.5" customHeight="1">
      <c r="A171" s="909"/>
      <c r="B171" s="1553"/>
      <c r="C171" s="1553"/>
      <c r="D171" s="285"/>
      <c r="K171" s="1077"/>
      <c r="L171" s="1553"/>
      <c r="M171" s="1553"/>
      <c r="N171" s="1077"/>
      <c r="O171" s="1077"/>
      <c r="P171" s="1077"/>
      <c r="Q171" s="1077"/>
      <c r="R171" s="1553"/>
      <c r="S171" s="1077"/>
      <c r="T171" s="1077"/>
      <c r="U171" s="478"/>
      <c r="V171" s="1077"/>
      <c r="W171" s="1077"/>
      <c r="X171" s="1077"/>
      <c r="Y171" s="1077"/>
      <c r="Z171" s="1077"/>
      <c r="AA171" s="1549"/>
      <c r="AB171" s="500"/>
      <c r="AC171" s="500"/>
      <c r="AD171" s="500"/>
      <c r="AE171" s="500"/>
      <c r="AF171" s="1558">
        <v>11</v>
      </c>
    </row>
    <row r="172" spans="1:32" s="2212" customFormat="1" ht="11.5" customHeight="1">
      <c r="A172" s="909"/>
      <c r="B172" s="1553"/>
      <c r="C172" s="1553"/>
      <c r="D172" s="285"/>
      <c r="K172" s="1077"/>
      <c r="L172" s="1553"/>
      <c r="M172" s="1553"/>
      <c r="N172" s="1077"/>
      <c r="O172" s="1077"/>
      <c r="P172" s="1077"/>
      <c r="Q172" s="1077"/>
      <c r="R172" s="1553"/>
      <c r="S172" s="1077"/>
      <c r="T172" s="1077"/>
      <c r="U172" s="478"/>
      <c r="V172" s="1077"/>
      <c r="W172" s="1077"/>
      <c r="X172" s="1077"/>
      <c r="Y172" s="1077"/>
      <c r="Z172" s="1077"/>
      <c r="AA172" s="1549"/>
      <c r="AB172" s="500"/>
      <c r="AC172" s="500"/>
      <c r="AD172" s="500"/>
      <c r="AE172" s="500"/>
      <c r="AF172" s="1558">
        <v>11</v>
      </c>
    </row>
    <row r="173" spans="1:32" s="2212" customFormat="1" ht="11.5" customHeight="1">
      <c r="A173" s="909"/>
      <c r="B173" s="1553"/>
      <c r="C173" s="1553"/>
      <c r="D173" s="285"/>
      <c r="K173" s="1077"/>
      <c r="L173" s="1553"/>
      <c r="M173" s="1553"/>
      <c r="N173" s="1077"/>
      <c r="O173" s="1077"/>
      <c r="P173" s="1077"/>
      <c r="Q173" s="1077"/>
      <c r="R173" s="1553"/>
      <c r="S173" s="1077"/>
      <c r="T173" s="1077"/>
      <c r="U173" s="478"/>
      <c r="V173" s="1077"/>
      <c r="W173" s="1077"/>
      <c r="X173" s="1077"/>
      <c r="Y173" s="1077"/>
      <c r="Z173" s="1077"/>
      <c r="AA173" s="1549"/>
      <c r="AB173" s="500"/>
      <c r="AC173" s="500"/>
      <c r="AD173" s="500"/>
      <c r="AE173" s="500"/>
      <c r="AF173" s="1558">
        <v>11</v>
      </c>
    </row>
    <row r="174" spans="1:32" s="2212" customFormat="1" ht="11.5" customHeight="1">
      <c r="A174" s="909"/>
      <c r="B174" s="1553"/>
      <c r="C174" s="1553"/>
      <c r="D174" s="285"/>
      <c r="K174" s="1077"/>
      <c r="L174" s="1553"/>
      <c r="M174" s="1553"/>
      <c r="N174" s="1077"/>
      <c r="O174" s="1077"/>
      <c r="P174" s="1077"/>
      <c r="Q174" s="1077"/>
      <c r="R174" s="1553"/>
      <c r="S174" s="1077"/>
      <c r="T174" s="1077"/>
      <c r="U174" s="478"/>
      <c r="V174" s="1077"/>
      <c r="W174" s="1077"/>
      <c r="X174" s="1077"/>
      <c r="Y174" s="1077"/>
      <c r="Z174" s="1077"/>
      <c r="AA174" s="1549"/>
      <c r="AB174" s="500"/>
      <c r="AC174" s="500"/>
      <c r="AD174" s="500"/>
      <c r="AE174" s="500"/>
      <c r="AF174" s="1558">
        <v>11</v>
      </c>
    </row>
    <row r="175" spans="1:32" s="2212" customFormat="1" ht="11.5" customHeight="1">
      <c r="A175" s="909"/>
      <c r="B175" s="1553"/>
      <c r="C175" s="1553"/>
      <c r="D175" s="285"/>
      <c r="K175" s="1077"/>
      <c r="L175" s="1553"/>
      <c r="M175" s="1553"/>
      <c r="N175" s="1077"/>
      <c r="O175" s="1077"/>
      <c r="P175" s="1077"/>
      <c r="Q175" s="1077"/>
      <c r="R175" s="1553"/>
      <c r="S175" s="1077"/>
      <c r="T175" s="1077"/>
      <c r="U175" s="478"/>
      <c r="V175" s="1077"/>
      <c r="W175" s="1077"/>
      <c r="X175" s="1077"/>
      <c r="Y175" s="1077"/>
      <c r="Z175" s="1077"/>
      <c r="AA175" s="1549"/>
      <c r="AB175" s="500"/>
      <c r="AC175" s="500"/>
      <c r="AD175" s="500"/>
      <c r="AE175" s="500"/>
      <c r="AF175" s="1558">
        <v>11</v>
      </c>
    </row>
    <row r="176" spans="1:32" s="2212" customFormat="1" ht="11.5" customHeight="1">
      <c r="A176" s="909"/>
      <c r="B176" s="1553"/>
      <c r="C176" s="1553"/>
      <c r="D176" s="285"/>
      <c r="K176" s="1077"/>
      <c r="L176" s="1553"/>
      <c r="M176" s="1553"/>
      <c r="N176" s="1077"/>
      <c r="O176" s="1077"/>
      <c r="P176" s="1077"/>
      <c r="Q176" s="1077"/>
      <c r="R176" s="1553"/>
      <c r="S176" s="1077"/>
      <c r="T176" s="1077"/>
      <c r="U176" s="478"/>
      <c r="V176" s="1077"/>
      <c r="W176" s="1077"/>
      <c r="X176" s="1077"/>
      <c r="Y176" s="1077"/>
      <c r="Z176" s="1077"/>
      <c r="AA176" s="1549"/>
      <c r="AB176" s="500"/>
      <c r="AC176" s="500"/>
      <c r="AD176" s="500"/>
      <c r="AE176" s="500"/>
      <c r="AF176" s="1558">
        <v>11</v>
      </c>
    </row>
    <row r="177" spans="1:32" s="2212" customFormat="1" ht="11.5" customHeight="1">
      <c r="A177" s="909"/>
      <c r="B177" s="1553"/>
      <c r="C177" s="1553"/>
      <c r="D177" s="285"/>
      <c r="K177" s="1077"/>
      <c r="L177" s="1553"/>
      <c r="M177" s="1553"/>
      <c r="N177" s="1077"/>
      <c r="O177" s="1077"/>
      <c r="P177" s="1077"/>
      <c r="Q177" s="1077"/>
      <c r="R177" s="1553"/>
      <c r="S177" s="1077"/>
      <c r="T177" s="1077"/>
      <c r="U177" s="478"/>
      <c r="V177" s="1077"/>
      <c r="W177" s="1077"/>
      <c r="X177" s="1077"/>
      <c r="Y177" s="1077"/>
      <c r="Z177" s="1077"/>
      <c r="AA177" s="1549"/>
      <c r="AB177" s="500"/>
      <c r="AC177" s="500"/>
      <c r="AD177" s="500"/>
      <c r="AE177" s="500"/>
      <c r="AF177" s="1558">
        <v>11</v>
      </c>
    </row>
    <row r="178" spans="1:32" s="2212" customFormat="1" ht="11.5" customHeight="1">
      <c r="A178" s="909"/>
      <c r="B178" s="1553"/>
      <c r="C178" s="1553"/>
      <c r="D178" s="285"/>
      <c r="K178" s="1077"/>
      <c r="L178" s="1553"/>
      <c r="M178" s="1553"/>
      <c r="N178" s="1077"/>
      <c r="O178" s="1077"/>
      <c r="P178" s="1077"/>
      <c r="Q178" s="1077"/>
      <c r="R178" s="1553"/>
      <c r="S178" s="1077"/>
      <c r="T178" s="1077"/>
      <c r="U178" s="478"/>
      <c r="V178" s="1077"/>
      <c r="W178" s="1077"/>
      <c r="X178" s="1077"/>
      <c r="Y178" s="1077"/>
      <c r="Z178" s="1077"/>
      <c r="AA178" s="1549"/>
      <c r="AB178" s="500"/>
      <c r="AC178" s="500"/>
      <c r="AD178" s="500"/>
      <c r="AE178" s="500"/>
      <c r="AF178" s="1558">
        <v>11</v>
      </c>
    </row>
    <row r="179" spans="1:32" s="2212" customFormat="1" ht="11.5" customHeight="1">
      <c r="A179" s="909"/>
      <c r="B179" s="1553"/>
      <c r="C179" s="1553"/>
      <c r="D179" s="285"/>
      <c r="K179" s="1077"/>
      <c r="L179" s="1553"/>
      <c r="M179" s="1553"/>
      <c r="N179" s="1077"/>
      <c r="O179" s="1077"/>
      <c r="P179" s="1077"/>
      <c r="Q179" s="1077"/>
      <c r="R179" s="1553"/>
      <c r="S179" s="1077"/>
      <c r="T179" s="1077"/>
      <c r="U179" s="478"/>
      <c r="V179" s="1077"/>
      <c r="W179" s="1077"/>
      <c r="X179" s="1077"/>
      <c r="Y179" s="1077"/>
      <c r="Z179" s="1077"/>
      <c r="AA179" s="1549"/>
      <c r="AB179" s="500"/>
      <c r="AC179" s="500"/>
      <c r="AD179" s="500"/>
      <c r="AE179" s="500"/>
      <c r="AF179" s="1558">
        <v>11</v>
      </c>
    </row>
    <row r="180" spans="1:32" s="2212" customFormat="1" ht="11.5" customHeight="1">
      <c r="A180" s="909"/>
      <c r="B180" s="1553"/>
      <c r="C180" s="1553"/>
      <c r="D180" s="285"/>
      <c r="K180" s="1077"/>
      <c r="L180" s="1553"/>
      <c r="M180" s="1553"/>
      <c r="N180" s="1077"/>
      <c r="O180" s="1077"/>
      <c r="P180" s="1077"/>
      <c r="Q180" s="1077"/>
      <c r="R180" s="1553"/>
      <c r="S180" s="1077"/>
      <c r="T180" s="1077"/>
      <c r="U180" s="478"/>
      <c r="V180" s="1077"/>
      <c r="W180" s="1077"/>
      <c r="X180" s="1077"/>
      <c r="Y180" s="1077"/>
      <c r="Z180" s="1077"/>
      <c r="AA180" s="1549"/>
      <c r="AB180" s="500"/>
      <c r="AC180" s="500"/>
      <c r="AD180" s="500"/>
      <c r="AE180" s="500"/>
      <c r="AF180" s="1558">
        <v>11</v>
      </c>
    </row>
    <row r="181" spans="1:32" s="2212" customFormat="1" ht="11.5" customHeight="1">
      <c r="A181" s="909"/>
      <c r="B181" s="1553"/>
      <c r="C181" s="1553"/>
      <c r="D181" s="285"/>
      <c r="K181" s="1077"/>
      <c r="L181" s="1553"/>
      <c r="M181" s="1553"/>
      <c r="N181" s="1077"/>
      <c r="O181" s="1077"/>
      <c r="P181" s="1077"/>
      <c r="Q181" s="1077"/>
      <c r="R181" s="1553"/>
      <c r="S181" s="1077"/>
      <c r="T181" s="1077"/>
      <c r="U181" s="478"/>
      <c r="V181" s="1077"/>
      <c r="W181" s="1077"/>
      <c r="X181" s="1077"/>
      <c r="Y181" s="1077"/>
      <c r="Z181" s="1077"/>
      <c r="AA181" s="1549"/>
      <c r="AB181" s="500"/>
      <c r="AC181" s="500"/>
      <c r="AD181" s="500"/>
      <c r="AE181" s="500"/>
      <c r="AF181" s="1558">
        <v>11</v>
      </c>
    </row>
    <row r="182" spans="1:32" s="2212" customFormat="1" ht="11.5" customHeight="1">
      <c r="A182" s="909"/>
      <c r="B182" s="1553"/>
      <c r="C182" s="1553"/>
      <c r="D182" s="285"/>
      <c r="K182" s="1077"/>
      <c r="L182" s="1553"/>
      <c r="M182" s="1553"/>
      <c r="N182" s="1077"/>
      <c r="O182" s="1077"/>
      <c r="P182" s="1077"/>
      <c r="Q182" s="1077"/>
      <c r="R182" s="1553"/>
      <c r="S182" s="1077"/>
      <c r="T182" s="1077"/>
      <c r="U182" s="478"/>
      <c r="V182" s="1077"/>
      <c r="W182" s="1077"/>
      <c r="X182" s="1077"/>
      <c r="Y182" s="1077"/>
      <c r="Z182" s="1077"/>
      <c r="AA182" s="1549"/>
      <c r="AB182" s="500"/>
      <c r="AC182" s="500"/>
      <c r="AD182" s="500"/>
      <c r="AE182" s="500"/>
      <c r="AF182" s="1558">
        <v>11</v>
      </c>
    </row>
    <row r="183" spans="1:32" s="2212" customFormat="1" ht="11.5" customHeight="1">
      <c r="A183" s="909"/>
      <c r="B183" s="1553"/>
      <c r="C183" s="1553"/>
      <c r="D183" s="285"/>
      <c r="K183" s="1077"/>
      <c r="L183" s="1553"/>
      <c r="M183" s="1553"/>
      <c r="N183" s="1077"/>
      <c r="O183" s="1077"/>
      <c r="P183" s="1077"/>
      <c r="Q183" s="1077"/>
      <c r="R183" s="1553"/>
      <c r="S183" s="1077"/>
      <c r="T183" s="1077"/>
      <c r="U183" s="478"/>
      <c r="V183" s="1077"/>
      <c r="W183" s="1077"/>
      <c r="X183" s="1077"/>
      <c r="Y183" s="1077"/>
      <c r="Z183" s="1077"/>
      <c r="AA183" s="1549"/>
      <c r="AB183" s="500"/>
      <c r="AC183" s="500"/>
      <c r="AD183" s="500"/>
      <c r="AE183" s="500"/>
      <c r="AF183" s="1558">
        <v>11</v>
      </c>
    </row>
    <row r="184" spans="1:32" s="2212" customFormat="1" ht="11.5" customHeight="1">
      <c r="A184" s="909"/>
      <c r="B184" s="1553"/>
      <c r="C184" s="1553"/>
      <c r="D184" s="285"/>
      <c r="K184" s="1077"/>
      <c r="L184" s="1553"/>
      <c r="M184" s="1553"/>
      <c r="N184" s="1077"/>
      <c r="O184" s="1077"/>
      <c r="P184" s="1077"/>
      <c r="Q184" s="1077"/>
      <c r="R184" s="1553"/>
      <c r="S184" s="1077"/>
      <c r="T184" s="1077"/>
      <c r="U184" s="478"/>
      <c r="V184" s="1077"/>
      <c r="W184" s="1077"/>
      <c r="X184" s="1077"/>
      <c r="Y184" s="1077"/>
      <c r="Z184" s="1077"/>
      <c r="AA184" s="1549"/>
      <c r="AB184" s="500"/>
      <c r="AC184" s="500"/>
      <c r="AD184" s="500"/>
      <c r="AE184" s="500"/>
      <c r="AF184" s="1558">
        <v>11</v>
      </c>
    </row>
    <row r="185" spans="1:32" s="2212" customFormat="1" ht="11.5" customHeight="1">
      <c r="A185" s="909"/>
      <c r="B185" s="1553"/>
      <c r="C185" s="1553"/>
      <c r="D185" s="285"/>
      <c r="K185" s="1077"/>
      <c r="L185" s="1553"/>
      <c r="M185" s="1553"/>
      <c r="N185" s="1077"/>
      <c r="O185" s="1077"/>
      <c r="P185" s="1077"/>
      <c r="Q185" s="1077"/>
      <c r="R185" s="1553"/>
      <c r="S185" s="1077"/>
      <c r="T185" s="1077"/>
      <c r="U185" s="478"/>
      <c r="V185" s="1077"/>
      <c r="W185" s="1077"/>
      <c r="X185" s="1077"/>
      <c r="Y185" s="1077"/>
      <c r="Z185" s="1077"/>
      <c r="AA185" s="1549"/>
      <c r="AB185" s="500"/>
      <c r="AC185" s="500"/>
      <c r="AD185" s="500"/>
      <c r="AE185" s="500"/>
      <c r="AF185" s="1558">
        <v>11</v>
      </c>
    </row>
    <row r="186" spans="1:32" s="2212" customFormat="1" ht="11.5" customHeight="1">
      <c r="A186" s="909"/>
      <c r="B186" s="1553"/>
      <c r="C186" s="1553"/>
      <c r="D186" s="285"/>
      <c r="K186" s="1077"/>
      <c r="L186" s="1553"/>
      <c r="M186" s="1553"/>
      <c r="N186" s="1077"/>
      <c r="O186" s="1077"/>
      <c r="P186" s="1077"/>
      <c r="Q186" s="1077"/>
      <c r="R186" s="1553"/>
      <c r="S186" s="1077"/>
      <c r="T186" s="1077"/>
      <c r="U186" s="478"/>
      <c r="V186" s="1077"/>
      <c r="W186" s="1077"/>
      <c r="X186" s="1077"/>
      <c r="Y186" s="1077"/>
      <c r="Z186" s="1077"/>
      <c r="AA186" s="1549"/>
      <c r="AB186" s="500"/>
      <c r="AC186" s="500"/>
      <c r="AD186" s="500"/>
      <c r="AE186" s="500"/>
      <c r="AF186" s="1558">
        <v>11</v>
      </c>
    </row>
    <row r="187" spans="1:32" s="2212" customFormat="1" ht="11.5" customHeight="1">
      <c r="A187" s="909"/>
      <c r="B187" s="1553"/>
      <c r="C187" s="1553"/>
      <c r="D187" s="285"/>
      <c r="K187" s="1077"/>
      <c r="L187" s="1553"/>
      <c r="M187" s="1553"/>
      <c r="N187" s="1077"/>
      <c r="O187" s="1077"/>
      <c r="P187" s="1077"/>
      <c r="Q187" s="1077"/>
      <c r="R187" s="1553"/>
      <c r="S187" s="1077"/>
      <c r="T187" s="1077"/>
      <c r="U187" s="478"/>
      <c r="V187" s="1077"/>
      <c r="W187" s="1077"/>
      <c r="X187" s="1077"/>
      <c r="Y187" s="1077"/>
      <c r="Z187" s="1077"/>
      <c r="AA187" s="1549"/>
      <c r="AB187" s="500"/>
      <c r="AC187" s="500"/>
      <c r="AD187" s="500"/>
      <c r="AE187" s="500"/>
      <c r="AF187" s="1558">
        <v>11</v>
      </c>
    </row>
    <row r="188" spans="1:32" s="2212" customFormat="1" ht="11.5" customHeight="1">
      <c r="A188" s="909"/>
      <c r="B188" s="1553"/>
      <c r="C188" s="1553"/>
      <c r="D188" s="285"/>
      <c r="K188" s="1077"/>
      <c r="L188" s="1553"/>
      <c r="M188" s="1553"/>
      <c r="N188" s="1077"/>
      <c r="O188" s="1077"/>
      <c r="P188" s="1077"/>
      <c r="Q188" s="1077"/>
      <c r="R188" s="1553"/>
      <c r="S188" s="1077"/>
      <c r="T188" s="1077"/>
      <c r="U188" s="478"/>
      <c r="V188" s="1077"/>
      <c r="W188" s="1077"/>
      <c r="X188" s="1077"/>
      <c r="Y188" s="1077"/>
      <c r="Z188" s="1077"/>
      <c r="AA188" s="1549"/>
      <c r="AB188" s="500"/>
      <c r="AC188" s="500"/>
      <c r="AD188" s="500"/>
      <c r="AE188" s="500"/>
      <c r="AF188" s="1558">
        <v>11</v>
      </c>
    </row>
    <row r="189" spans="1:32" s="2212" customFormat="1" ht="11.5" customHeight="1">
      <c r="A189" s="909"/>
      <c r="B189" s="1553"/>
      <c r="C189" s="1553"/>
      <c r="D189" s="285"/>
      <c r="K189" s="1077"/>
      <c r="L189" s="1553"/>
      <c r="M189" s="1553"/>
      <c r="N189" s="1077"/>
      <c r="O189" s="1077"/>
      <c r="P189" s="1077"/>
      <c r="Q189" s="1077"/>
      <c r="R189" s="1553"/>
      <c r="S189" s="1077"/>
      <c r="T189" s="1077"/>
      <c r="U189" s="478"/>
      <c r="V189" s="1077"/>
      <c r="W189" s="1077"/>
      <c r="X189" s="1077"/>
      <c r="Y189" s="1077"/>
      <c r="Z189" s="1077"/>
      <c r="AA189" s="1549"/>
      <c r="AB189" s="500"/>
      <c r="AC189" s="500"/>
      <c r="AD189" s="500"/>
      <c r="AE189" s="500"/>
      <c r="AF189" s="1558">
        <v>11</v>
      </c>
    </row>
    <row r="190" spans="1:32" s="2212" customFormat="1" ht="11.5" customHeight="1">
      <c r="A190" s="909"/>
      <c r="B190" s="1553"/>
      <c r="C190" s="1553"/>
      <c r="D190" s="285"/>
      <c r="K190" s="1077"/>
      <c r="L190" s="1553"/>
      <c r="M190" s="1553"/>
      <c r="N190" s="1077"/>
      <c r="O190" s="1077"/>
      <c r="P190" s="1077"/>
      <c r="Q190" s="1077"/>
      <c r="R190" s="1553"/>
      <c r="S190" s="1077"/>
      <c r="T190" s="1077"/>
      <c r="U190" s="478"/>
      <c r="V190" s="1077"/>
      <c r="W190" s="1077"/>
      <c r="X190" s="1077"/>
      <c r="Y190" s="1077"/>
      <c r="Z190" s="1077"/>
      <c r="AA190" s="1549"/>
      <c r="AB190" s="500"/>
      <c r="AC190" s="500"/>
      <c r="AD190" s="500"/>
      <c r="AE190" s="500"/>
      <c r="AF190" s="1558">
        <v>11</v>
      </c>
    </row>
    <row r="191" spans="1:32" s="2212" customFormat="1" ht="11.5" customHeight="1">
      <c r="A191" s="909"/>
      <c r="B191" s="1553"/>
      <c r="C191" s="1553"/>
      <c r="D191" s="285"/>
      <c r="K191" s="1077"/>
      <c r="L191" s="1553"/>
      <c r="M191" s="1553"/>
      <c r="N191" s="1077"/>
      <c r="O191" s="1077"/>
      <c r="P191" s="1077"/>
      <c r="Q191" s="1077"/>
      <c r="R191" s="1553"/>
      <c r="S191" s="1077"/>
      <c r="T191" s="1077"/>
      <c r="U191" s="478"/>
      <c r="V191" s="1077"/>
      <c r="W191" s="1077"/>
      <c r="X191" s="1077"/>
      <c r="Y191" s="1077"/>
      <c r="Z191" s="1077"/>
      <c r="AA191" s="1549"/>
      <c r="AB191" s="500"/>
      <c r="AC191" s="500"/>
      <c r="AD191" s="500"/>
      <c r="AE191" s="500"/>
      <c r="AF191" s="1558">
        <v>11</v>
      </c>
    </row>
    <row r="192" spans="1:32" s="2212" customFormat="1" ht="11.5" customHeight="1">
      <c r="A192" s="909"/>
      <c r="B192" s="1553"/>
      <c r="C192" s="1553"/>
      <c r="D192" s="285"/>
      <c r="K192" s="1077"/>
      <c r="L192" s="1553"/>
      <c r="M192" s="1553"/>
      <c r="N192" s="1077"/>
      <c r="O192" s="1077"/>
      <c r="P192" s="1077"/>
      <c r="Q192" s="1077"/>
      <c r="R192" s="1553"/>
      <c r="S192" s="1077"/>
      <c r="T192" s="1077"/>
      <c r="U192" s="478"/>
      <c r="V192" s="1077"/>
      <c r="W192" s="1077"/>
      <c r="X192" s="1077"/>
      <c r="Y192" s="1077"/>
      <c r="Z192" s="1077"/>
      <c r="AA192" s="1549"/>
      <c r="AB192" s="500"/>
      <c r="AC192" s="500"/>
      <c r="AD192" s="500"/>
      <c r="AE192" s="500"/>
      <c r="AF192" s="1558">
        <v>11</v>
      </c>
    </row>
    <row r="193" spans="1:32" s="2212" customFormat="1" ht="11.5" customHeight="1">
      <c r="A193" s="909"/>
      <c r="B193" s="1553"/>
      <c r="C193" s="1553"/>
      <c r="D193" s="285"/>
      <c r="K193" s="1077"/>
      <c r="L193" s="1553"/>
      <c r="M193" s="1553"/>
      <c r="N193" s="1077"/>
      <c r="O193" s="1077"/>
      <c r="P193" s="1077"/>
      <c r="Q193" s="1077"/>
      <c r="R193" s="1553"/>
      <c r="S193" s="1077"/>
      <c r="T193" s="1077"/>
      <c r="U193" s="478"/>
      <c r="V193" s="1077"/>
      <c r="W193" s="1077"/>
      <c r="X193" s="1077"/>
      <c r="Y193" s="1077"/>
      <c r="Z193" s="1077"/>
      <c r="AA193" s="1549"/>
      <c r="AB193" s="500"/>
      <c r="AC193" s="500"/>
      <c r="AD193" s="500"/>
      <c r="AE193" s="500"/>
      <c r="AF193" s="1558">
        <v>11</v>
      </c>
    </row>
    <row r="194" spans="1:32" s="2212" customFormat="1" ht="11.5" customHeight="1">
      <c r="A194" s="909"/>
      <c r="B194" s="1553"/>
      <c r="C194" s="1553"/>
      <c r="D194" s="285"/>
      <c r="K194" s="1077"/>
      <c r="L194" s="1553"/>
      <c r="M194" s="1553"/>
      <c r="N194" s="1077"/>
      <c r="O194" s="1077"/>
      <c r="P194" s="1077"/>
      <c r="Q194" s="1077"/>
      <c r="R194" s="1553"/>
      <c r="S194" s="1077"/>
      <c r="T194" s="1077"/>
      <c r="U194" s="478"/>
      <c r="V194" s="1077"/>
      <c r="W194" s="1077"/>
      <c r="X194" s="1077"/>
      <c r="Y194" s="1077"/>
      <c r="Z194" s="1077"/>
      <c r="AA194" s="1549"/>
      <c r="AB194" s="500"/>
      <c r="AC194" s="500"/>
      <c r="AD194" s="500"/>
      <c r="AE194" s="500"/>
      <c r="AF194" s="1558">
        <v>11</v>
      </c>
    </row>
    <row r="195" spans="1:32" s="2212" customFormat="1" ht="11.5" customHeight="1">
      <c r="A195" s="909"/>
      <c r="B195" s="1553"/>
      <c r="C195" s="1553"/>
      <c r="D195" s="285"/>
      <c r="K195" s="1077"/>
      <c r="L195" s="1553"/>
      <c r="M195" s="1553"/>
      <c r="N195" s="1077"/>
      <c r="O195" s="1077"/>
      <c r="P195" s="1077"/>
      <c r="Q195" s="1077"/>
      <c r="R195" s="1553"/>
      <c r="S195" s="1077"/>
      <c r="T195" s="1077"/>
      <c r="U195" s="478"/>
      <c r="V195" s="1077"/>
      <c r="W195" s="1077"/>
      <c r="X195" s="1077"/>
      <c r="Y195" s="1077"/>
      <c r="Z195" s="1077"/>
      <c r="AA195" s="1549"/>
      <c r="AB195" s="500"/>
      <c r="AC195" s="500"/>
      <c r="AD195" s="500"/>
      <c r="AE195" s="500"/>
      <c r="AF195" s="1558">
        <v>11</v>
      </c>
    </row>
    <row r="196" spans="1:32" s="2212" customFormat="1" ht="11.5" customHeight="1">
      <c r="A196" s="909"/>
      <c r="B196" s="1553"/>
      <c r="C196" s="1553"/>
      <c r="D196" s="285"/>
      <c r="K196" s="1077"/>
      <c r="L196" s="1553"/>
      <c r="M196" s="1553"/>
      <c r="N196" s="1077"/>
      <c r="O196" s="1077"/>
      <c r="P196" s="1077"/>
      <c r="Q196" s="1077"/>
      <c r="R196" s="1553"/>
      <c r="S196" s="1077"/>
      <c r="T196" s="1077"/>
      <c r="U196" s="478"/>
      <c r="V196" s="1077"/>
      <c r="W196" s="1077"/>
      <c r="X196" s="1077"/>
      <c r="Y196" s="1077"/>
      <c r="Z196" s="1077"/>
      <c r="AA196" s="1549"/>
      <c r="AB196" s="500"/>
      <c r="AC196" s="500"/>
      <c r="AD196" s="500"/>
      <c r="AE196" s="500"/>
      <c r="AF196" s="1558">
        <v>11</v>
      </c>
    </row>
    <row r="197" spans="1:32" s="2212" customFormat="1" ht="11.5" customHeight="1">
      <c r="A197" s="909"/>
      <c r="B197" s="1553"/>
      <c r="C197" s="1553"/>
      <c r="D197" s="285"/>
      <c r="K197" s="1077"/>
      <c r="L197" s="1553"/>
      <c r="M197" s="1553"/>
      <c r="N197" s="1077"/>
      <c r="O197" s="1077"/>
      <c r="P197" s="1077"/>
      <c r="Q197" s="1077"/>
      <c r="R197" s="1553"/>
      <c r="S197" s="1077"/>
      <c r="T197" s="1077"/>
      <c r="U197" s="478"/>
      <c r="V197" s="1077"/>
      <c r="W197" s="1077"/>
      <c r="X197" s="1077"/>
      <c r="Y197" s="1077"/>
      <c r="Z197" s="1077"/>
      <c r="AA197" s="1549"/>
      <c r="AB197" s="500"/>
      <c r="AC197" s="500"/>
      <c r="AD197" s="500"/>
      <c r="AE197" s="500"/>
      <c r="AF197" s="1558">
        <v>11</v>
      </c>
    </row>
    <row r="198" spans="1:32" s="2212" customFormat="1" ht="11.5" customHeight="1">
      <c r="A198" s="909"/>
      <c r="B198" s="1553"/>
      <c r="C198" s="1553"/>
      <c r="D198" s="285"/>
      <c r="K198" s="1077"/>
      <c r="L198" s="1553"/>
      <c r="M198" s="1553"/>
      <c r="N198" s="1077"/>
      <c r="O198" s="1077"/>
      <c r="P198" s="1077"/>
      <c r="Q198" s="1077"/>
      <c r="R198" s="1553"/>
      <c r="S198" s="1077"/>
      <c r="T198" s="1077"/>
      <c r="U198" s="478"/>
      <c r="V198" s="1077"/>
      <c r="W198" s="1077"/>
      <c r="X198" s="1077"/>
      <c r="Y198" s="1077"/>
      <c r="Z198" s="1077"/>
      <c r="AA198" s="1549"/>
      <c r="AB198" s="500"/>
      <c r="AC198" s="500"/>
      <c r="AD198" s="500"/>
      <c r="AE198" s="500"/>
      <c r="AF198" s="1558">
        <v>11</v>
      </c>
    </row>
    <row r="199" spans="1:32" s="2212" customFormat="1" ht="11.5" customHeight="1">
      <c r="A199" s="909"/>
      <c r="B199" s="1553"/>
      <c r="C199" s="1553"/>
      <c r="D199" s="285"/>
      <c r="K199" s="1077"/>
      <c r="L199" s="1553"/>
      <c r="M199" s="1553"/>
      <c r="N199" s="1077"/>
      <c r="O199" s="1077"/>
      <c r="P199" s="1077"/>
      <c r="Q199" s="1077"/>
      <c r="R199" s="1553"/>
      <c r="S199" s="1077"/>
      <c r="T199" s="1077"/>
      <c r="U199" s="478"/>
      <c r="V199" s="1077"/>
      <c r="W199" s="1077"/>
      <c r="X199" s="1077"/>
      <c r="Y199" s="1077"/>
      <c r="Z199" s="1077"/>
      <c r="AA199" s="1549"/>
      <c r="AB199" s="500"/>
      <c r="AC199" s="500"/>
      <c r="AD199" s="500"/>
      <c r="AE199" s="500"/>
      <c r="AF199" s="1558">
        <v>11</v>
      </c>
    </row>
    <row r="200" spans="1:32" s="2212" customFormat="1" ht="11.5" customHeight="1">
      <c r="A200" s="909"/>
      <c r="B200" s="1553"/>
      <c r="C200" s="1553"/>
      <c r="D200" s="285"/>
      <c r="K200" s="1077"/>
      <c r="L200" s="1553"/>
      <c r="M200" s="1553"/>
      <c r="N200" s="1077"/>
      <c r="O200" s="1077"/>
      <c r="P200" s="1077"/>
      <c r="Q200" s="1077"/>
      <c r="R200" s="1553"/>
      <c r="S200" s="1077"/>
      <c r="T200" s="1077"/>
      <c r="U200" s="478"/>
      <c r="V200" s="1077"/>
      <c r="W200" s="1077"/>
      <c r="X200" s="1077"/>
      <c r="Y200" s="1077"/>
      <c r="Z200" s="1077"/>
      <c r="AA200" s="1549"/>
      <c r="AB200" s="500"/>
      <c r="AC200" s="500"/>
      <c r="AD200" s="500"/>
      <c r="AE200" s="500"/>
      <c r="AF200" s="1558">
        <v>11</v>
      </c>
    </row>
    <row r="201" spans="1:32" s="2212" customFormat="1" ht="11.5" customHeight="1">
      <c r="A201" s="909"/>
      <c r="B201" s="1553"/>
      <c r="C201" s="1553"/>
      <c r="D201" s="285"/>
      <c r="K201" s="1077"/>
      <c r="L201" s="1553"/>
      <c r="M201" s="1553"/>
      <c r="N201" s="1077"/>
      <c r="O201" s="1077"/>
      <c r="P201" s="1077"/>
      <c r="Q201" s="1077"/>
      <c r="R201" s="1553"/>
      <c r="S201" s="1077"/>
      <c r="T201" s="1077"/>
      <c r="U201" s="478"/>
      <c r="V201" s="1077"/>
      <c r="W201" s="1077"/>
      <c r="X201" s="1077"/>
      <c r="Y201" s="1077"/>
      <c r="Z201" s="1077"/>
      <c r="AA201" s="1549"/>
      <c r="AB201" s="500"/>
      <c r="AC201" s="500"/>
      <c r="AD201" s="500"/>
      <c r="AE201" s="500"/>
      <c r="AF201" s="1558">
        <v>11</v>
      </c>
    </row>
    <row r="202" spans="1:32" s="2212" customFormat="1" ht="11.5" customHeight="1">
      <c r="A202" s="909"/>
      <c r="B202" s="1553"/>
      <c r="C202" s="1553"/>
      <c r="D202" s="285"/>
      <c r="K202" s="1077"/>
      <c r="L202" s="1553"/>
      <c r="M202" s="1553"/>
      <c r="N202" s="1077"/>
      <c r="O202" s="1077"/>
      <c r="P202" s="1077"/>
      <c r="Q202" s="1077"/>
      <c r="R202" s="1553"/>
      <c r="S202" s="1077"/>
      <c r="T202" s="1077"/>
      <c r="U202" s="478"/>
      <c r="V202" s="1077"/>
      <c r="W202" s="1077"/>
      <c r="X202" s="1077"/>
      <c r="Y202" s="1077"/>
      <c r="Z202" s="1077"/>
      <c r="AA202" s="1549"/>
      <c r="AB202" s="500"/>
      <c r="AC202" s="500"/>
      <c r="AD202" s="500"/>
      <c r="AE202" s="500"/>
      <c r="AF202" s="1558">
        <v>11</v>
      </c>
    </row>
    <row r="203" spans="1:32" ht="11.5" customHeight="1">
      <c r="AF203" s="1548">
        <v>11</v>
      </c>
    </row>
    <row r="204" spans="1:32" ht="11.5" customHeight="1">
      <c r="AF204" s="1548">
        <v>11</v>
      </c>
    </row>
    <row r="205" spans="1:32" ht="11.5" customHeight="1">
      <c r="AF205" s="1548">
        <v>11</v>
      </c>
    </row>
    <row r="206" spans="1:32" ht="11.5" customHeight="1">
      <c r="A206" s="912"/>
      <c r="B206" s="1548"/>
      <c r="D206" s="1548"/>
      <c r="K206" s="1548"/>
      <c r="N206" s="1548"/>
      <c r="O206" s="1548"/>
      <c r="P206" s="1548"/>
      <c r="Q206" s="1548"/>
      <c r="S206" s="1548"/>
      <c r="T206" s="1548"/>
      <c r="U206" s="1548"/>
      <c r="V206" s="1548"/>
      <c r="W206" s="1548"/>
      <c r="X206" s="1548"/>
      <c r="Y206" s="1548"/>
      <c r="Z206" s="1548"/>
      <c r="AA206" s="1548"/>
      <c r="AB206" s="1548"/>
      <c r="AC206" s="1548"/>
      <c r="AD206" s="1548"/>
      <c r="AE206" s="1548"/>
      <c r="AF206" s="1548">
        <v>11</v>
      </c>
    </row>
    <row r="207" spans="1:32" ht="11.5" customHeight="1">
      <c r="A207" s="912"/>
      <c r="B207" s="1548"/>
      <c r="D207" s="1548"/>
      <c r="K207" s="1548"/>
      <c r="N207" s="1548"/>
      <c r="O207" s="1548"/>
      <c r="P207" s="1548"/>
      <c r="Q207" s="1548"/>
      <c r="S207" s="1548"/>
      <c r="T207" s="1548"/>
      <c r="U207" s="1548"/>
      <c r="V207" s="1548"/>
      <c r="W207" s="1548"/>
      <c r="X207" s="1548"/>
      <c r="Y207" s="1548"/>
      <c r="Z207" s="1548"/>
      <c r="AA207" s="1548"/>
      <c r="AB207" s="1548"/>
      <c r="AC207" s="1548"/>
      <c r="AD207" s="1548"/>
      <c r="AE207" s="1548"/>
      <c r="AF207" s="1548">
        <v>11</v>
      </c>
    </row>
    <row r="208" spans="1:32" ht="11.5" customHeight="1">
      <c r="A208" s="912"/>
      <c r="B208" s="1548"/>
      <c r="D208" s="1548"/>
      <c r="K208" s="1548"/>
      <c r="N208" s="1548"/>
      <c r="O208" s="1548"/>
      <c r="P208" s="1548"/>
      <c r="Q208" s="1548"/>
      <c r="S208" s="1548"/>
      <c r="T208" s="1548"/>
      <c r="U208" s="1548"/>
      <c r="V208" s="1548"/>
      <c r="W208" s="1548"/>
      <c r="X208" s="1548"/>
      <c r="Y208" s="1548"/>
      <c r="Z208" s="1548"/>
      <c r="AA208" s="1548"/>
      <c r="AB208" s="1548"/>
      <c r="AC208" s="1548"/>
      <c r="AD208" s="1548"/>
      <c r="AE208" s="1548"/>
      <c r="AF208" s="1548">
        <v>11</v>
      </c>
    </row>
    <row r="209" spans="1:32" ht="11.5" customHeight="1">
      <c r="A209" s="912"/>
      <c r="B209" s="1548"/>
      <c r="D209" s="1548"/>
      <c r="K209" s="1548"/>
      <c r="N209" s="1548"/>
      <c r="O209" s="1548"/>
      <c r="P209" s="1548"/>
      <c r="Q209" s="1548"/>
      <c r="S209" s="1548"/>
      <c r="T209" s="1548"/>
      <c r="U209" s="1548"/>
      <c r="V209" s="1548"/>
      <c r="W209" s="1548"/>
      <c r="X209" s="1548"/>
      <c r="Y209" s="1548"/>
      <c r="Z209" s="1548"/>
      <c r="AA209" s="1548"/>
      <c r="AB209" s="1548"/>
      <c r="AC209" s="1548"/>
      <c r="AD209" s="1548"/>
      <c r="AE209" s="1548"/>
      <c r="AF209" s="1548">
        <v>11</v>
      </c>
    </row>
    <row r="210" spans="1:32" ht="11.5" customHeight="1">
      <c r="A210" s="912"/>
      <c r="B210" s="1548"/>
      <c r="D210" s="1548"/>
      <c r="K210" s="1548"/>
      <c r="N210" s="1548"/>
      <c r="O210" s="1548"/>
      <c r="P210" s="1548"/>
      <c r="Q210" s="1548"/>
      <c r="S210" s="1548"/>
      <c r="T210" s="1548"/>
      <c r="U210" s="1548"/>
      <c r="V210" s="1548"/>
      <c r="W210" s="1548"/>
      <c r="X210" s="1548"/>
      <c r="Y210" s="1548"/>
      <c r="Z210" s="1548"/>
      <c r="AA210" s="1548"/>
      <c r="AB210" s="1548"/>
      <c r="AC210" s="1548"/>
      <c r="AD210" s="1548"/>
      <c r="AE210" s="1548"/>
      <c r="AF210" s="1548">
        <v>11</v>
      </c>
    </row>
    <row r="211" spans="1:32" ht="11.5" customHeight="1">
      <c r="A211" s="912"/>
      <c r="B211" s="1548"/>
      <c r="D211" s="1548"/>
      <c r="K211" s="1548"/>
      <c r="N211" s="1548"/>
      <c r="O211" s="1548"/>
      <c r="P211" s="1548"/>
      <c r="Q211" s="1548"/>
      <c r="S211" s="1548"/>
      <c r="T211" s="1548"/>
      <c r="U211" s="1548"/>
      <c r="V211" s="1548"/>
      <c r="W211" s="1548"/>
      <c r="X211" s="1548"/>
      <c r="Y211" s="1548"/>
      <c r="Z211" s="1548"/>
      <c r="AA211" s="1548"/>
      <c r="AB211" s="1548"/>
      <c r="AC211" s="1548"/>
      <c r="AD211" s="1548"/>
      <c r="AE211" s="1548"/>
      <c r="AF211" s="1548">
        <v>11</v>
      </c>
    </row>
    <row r="212" spans="1:32" ht="11.5" customHeight="1">
      <c r="A212" s="912"/>
      <c r="B212" s="1548"/>
      <c r="D212" s="1548"/>
      <c r="K212" s="1548"/>
      <c r="N212" s="1548"/>
      <c r="O212" s="1548"/>
      <c r="P212" s="1548"/>
      <c r="Q212" s="1548"/>
      <c r="S212" s="1548"/>
      <c r="T212" s="1548"/>
      <c r="U212" s="1548"/>
      <c r="V212" s="1548"/>
      <c r="W212" s="1548"/>
      <c r="X212" s="1548"/>
      <c r="Y212" s="1548"/>
      <c r="Z212" s="1548"/>
      <c r="AA212" s="1548"/>
      <c r="AB212" s="1548"/>
      <c r="AC212" s="1548"/>
      <c r="AD212" s="1548"/>
      <c r="AE212" s="1548"/>
      <c r="AF212" s="1548">
        <v>11</v>
      </c>
    </row>
    <row r="213" spans="1:32" ht="11.5" customHeight="1">
      <c r="A213" s="912"/>
      <c r="B213" s="1548"/>
      <c r="D213" s="1548"/>
      <c r="K213" s="1548"/>
      <c r="N213" s="1548"/>
      <c r="O213" s="1548"/>
      <c r="P213" s="1548"/>
      <c r="Q213" s="1548"/>
      <c r="S213" s="1548"/>
      <c r="T213" s="1548"/>
      <c r="U213" s="1548"/>
      <c r="V213" s="1548"/>
      <c r="W213" s="1548"/>
      <c r="X213" s="1548"/>
      <c r="Y213" s="1548"/>
      <c r="Z213" s="1548"/>
      <c r="AA213" s="1548"/>
      <c r="AB213" s="1548"/>
      <c r="AC213" s="1548"/>
      <c r="AD213" s="1548"/>
      <c r="AE213" s="1548"/>
      <c r="AF213" s="1548">
        <v>11</v>
      </c>
    </row>
    <row r="214" spans="1:32" ht="11.5" customHeight="1">
      <c r="A214" s="912"/>
      <c r="B214" s="1548"/>
      <c r="D214" s="1548"/>
      <c r="K214" s="1548"/>
      <c r="N214" s="1548"/>
      <c r="O214" s="1548"/>
      <c r="P214" s="1548"/>
      <c r="Q214" s="1548"/>
      <c r="S214" s="1548"/>
      <c r="T214" s="1548"/>
      <c r="U214" s="1548"/>
      <c r="V214" s="1548"/>
      <c r="W214" s="1548"/>
      <c r="X214" s="1548"/>
      <c r="Y214" s="1548"/>
      <c r="Z214" s="1548"/>
      <c r="AA214" s="1548"/>
      <c r="AB214" s="1548"/>
      <c r="AC214" s="1548"/>
      <c r="AD214" s="1548"/>
      <c r="AE214" s="1548"/>
      <c r="AF214" s="1548">
        <v>11</v>
      </c>
    </row>
    <row r="215" spans="1:32" ht="11.5" customHeight="1">
      <c r="A215" s="912"/>
      <c r="B215" s="1548"/>
      <c r="D215" s="1548"/>
      <c r="K215" s="1548"/>
      <c r="N215" s="1548"/>
      <c r="O215" s="1548"/>
      <c r="P215" s="1548"/>
      <c r="Q215" s="1548"/>
      <c r="S215" s="1548"/>
      <c r="T215" s="1548"/>
      <c r="U215" s="1548"/>
      <c r="V215" s="1548"/>
      <c r="W215" s="1548"/>
      <c r="X215" s="1548"/>
      <c r="Y215" s="1548"/>
      <c r="Z215" s="1548"/>
      <c r="AA215" s="1548"/>
      <c r="AB215" s="1548"/>
      <c r="AC215" s="1548"/>
      <c r="AD215" s="1548"/>
      <c r="AE215" s="1548"/>
      <c r="AF215" s="1548">
        <v>11</v>
      </c>
    </row>
    <row r="216" spans="1:32" ht="11.5" customHeight="1">
      <c r="A216" s="912"/>
      <c r="B216" s="1548"/>
      <c r="D216" s="1548"/>
      <c r="K216" s="1548"/>
      <c r="N216" s="1548"/>
      <c r="O216" s="1548"/>
      <c r="P216" s="1548"/>
      <c r="Q216" s="1548"/>
      <c r="S216" s="1548"/>
      <c r="T216" s="1548"/>
      <c r="U216" s="1548"/>
      <c r="V216" s="1548"/>
      <c r="W216" s="1548"/>
      <c r="X216" s="1548"/>
      <c r="Y216" s="1548"/>
      <c r="Z216" s="1548"/>
      <c r="AA216" s="1548"/>
      <c r="AB216" s="1548"/>
      <c r="AC216" s="1548"/>
      <c r="AD216" s="1548"/>
      <c r="AE216" s="1548"/>
      <c r="AF216" s="1548">
        <v>11</v>
      </c>
    </row>
    <row r="217" spans="1:32" ht="11.25" hidden="1" customHeight="1">
      <c r="A217" s="909" t="s">
        <v>83</v>
      </c>
      <c r="B217" s="1077">
        <v>0</v>
      </c>
      <c r="C217" s="1553">
        <v>0</v>
      </c>
      <c r="D217" s="1552">
        <v>3</v>
      </c>
      <c r="E217" s="1548">
        <v>7</v>
      </c>
      <c r="F217" s="1548">
        <v>56</v>
      </c>
      <c r="G217" s="1548">
        <v>10</v>
      </c>
      <c r="H217" s="1548">
        <v>0</v>
      </c>
      <c r="I217" s="1548">
        <v>40</v>
      </c>
      <c r="J217" s="1548">
        <v>102</v>
      </c>
      <c r="K217" s="1077">
        <v>9</v>
      </c>
      <c r="L217" s="1553">
        <v>5</v>
      </c>
      <c r="M217" s="1553">
        <v>3</v>
      </c>
      <c r="N217" s="1077">
        <v>3</v>
      </c>
      <c r="O217" s="1077">
        <v>3</v>
      </c>
      <c r="P217" s="1077">
        <v>3</v>
      </c>
      <c r="Q217" s="1077">
        <v>3</v>
      </c>
      <c r="R217" s="1553">
        <v>10</v>
      </c>
      <c r="S217" s="1077">
        <v>34</v>
      </c>
      <c r="T217" s="1077">
        <v>9</v>
      </c>
      <c r="U217" s="478">
        <v>8</v>
      </c>
      <c r="V217" s="1077">
        <v>8</v>
      </c>
      <c r="W217" s="1077">
        <v>8</v>
      </c>
      <c r="X217" s="1077">
        <v>8</v>
      </c>
      <c r="Y217" s="1077">
        <v>8</v>
      </c>
      <c r="Z217" s="1077">
        <v>8</v>
      </c>
      <c r="AA217" s="1549">
        <v>8</v>
      </c>
      <c r="AB217" s="1549">
        <v>8</v>
      </c>
      <c r="AC217" s="1549">
        <v>8</v>
      </c>
      <c r="AD217" s="1549">
        <v>8</v>
      </c>
      <c r="AE217" s="1549">
        <v>8</v>
      </c>
      <c r="AF217" s="1548">
        <v>11</v>
      </c>
    </row>
  </sheetData>
  <sheetProtection formatColumns="0" formatRows="0" insertRows="0" deleteColumns="0" deleteRows="0" sort="0" autoFilter="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xr:uid="{00000000-0002-0000-2400-000000000000}">
      <formula1>-9.99999999999999E+37</formula1>
      <formula2>9.99999999999999E+37</formula2>
    </dataValidation>
    <dataValidation type="decimal" allowBlank="1" showErrorMessage="1" errorTitle="Ошибка" error="Допускается ввод только действительных чисел!" sqref="H36:I37" xr:uid="{00000000-0002-0000-2400-00000100000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xr:uid="{00000000-0002-0000-2400-000002000000}">
      <formula1>900</formula1>
    </dataValidation>
    <dataValidation type="decimal" allowBlank="1" showErrorMessage="1" errorTitle="Ошибка" error="Допускается ввод только неотрицательных чисел!" sqref="H38:I39 H2:I2 H15:I15 H17:I32 H35:I35 H44:I46" xr:uid="{00000000-0002-0000-2400-000003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xr:uid="{00000000-0002-0000-2400-000004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0542B5-BD4E-A208-259D-669C484439A7}">
  <sheetPr>
    <tabColor theme="9" tint="-0.249977111117893"/>
  </sheetPr>
  <dimension ref="A1:AF210"/>
  <sheetViews>
    <sheetView showGridLines="0" topLeftCell="D5" zoomScale="90" workbookViewId="0"/>
  </sheetViews>
  <sheetFormatPr defaultColWidth="9.09765625" defaultRowHeight="11.25" customHeight="1"/>
  <cols>
    <col min="1" max="1" width="10.69921875" style="2982" hidden="1" customWidth="1"/>
    <col min="2" max="2" width="16.796875" style="2016" hidden="1" customWidth="1"/>
    <col min="3" max="3" width="5.59765625" style="2017" hidden="1" customWidth="1"/>
    <col min="4" max="4" width="3" style="2004" customWidth="1"/>
    <col min="5" max="5" width="7" style="2004" customWidth="1"/>
    <col min="6" max="6" width="54" style="2004" customWidth="1"/>
    <col min="7" max="7" width="10" style="2004" customWidth="1"/>
    <col min="8" max="8" width="40.69921875" style="2004" hidden="1" customWidth="1"/>
    <col min="9" max="9" width="40" style="2004" customWidth="1"/>
    <col min="10" max="10" width="102" style="2004" customWidth="1"/>
    <col min="11" max="11" width="9" style="2016" customWidth="1"/>
    <col min="12" max="12" width="5" style="2017" customWidth="1"/>
    <col min="13" max="13" width="3" style="2017" customWidth="1"/>
    <col min="14" max="17" width="3" style="2016" customWidth="1"/>
    <col min="18" max="18" width="10" style="2017" customWidth="1"/>
    <col min="19" max="19" width="34" style="2016" customWidth="1"/>
    <col min="20" max="20" width="9" style="2016" customWidth="1"/>
    <col min="21" max="21" width="8" style="2983" customWidth="1"/>
    <col min="22" max="26" width="8" style="2016" customWidth="1"/>
    <col min="27" max="31" width="8" style="2002" customWidth="1"/>
    <col min="32" max="32" width="9.09765625" style="2004" hidden="1"/>
  </cols>
  <sheetData>
    <row r="1" spans="1:32" s="2016" customFormat="1" ht="22.5" hidden="1" customHeight="1">
      <c r="A1" s="909"/>
      <c r="C1" s="1553"/>
      <c r="D1" s="471"/>
      <c r="H1" s="1077">
        <v>4</v>
      </c>
      <c r="I1" s="1077">
        <v>4</v>
      </c>
      <c r="L1" s="1553"/>
      <c r="M1" s="1553"/>
      <c r="R1" s="1553"/>
      <c r="AF1" s="1077" t="s">
        <v>14</v>
      </c>
    </row>
    <row r="2" spans="1:32" s="2016" customFormat="1" ht="22.5" hidden="1" customHeight="1">
      <c r="A2" s="909"/>
      <c r="C2" s="1553"/>
      <c r="D2" s="472"/>
      <c r="E2" s="1575"/>
      <c r="F2" s="474"/>
      <c r="G2" s="1574" t="s">
        <v>585</v>
      </c>
      <c r="H2" s="475"/>
      <c r="I2" s="475"/>
      <c r="J2" s="476" t="s">
        <v>588</v>
      </c>
      <c r="K2" s="477"/>
      <c r="L2" s="1553"/>
      <c r="M2" s="1553"/>
      <c r="R2" s="1553"/>
      <c r="U2" s="478"/>
      <c r="AA2" s="1549"/>
      <c r="AB2" s="1549"/>
      <c r="AC2" s="1549"/>
      <c r="AD2" s="1549"/>
      <c r="AE2" s="1549"/>
      <c r="AF2" s="1077">
        <v>0</v>
      </c>
    </row>
    <row r="3" spans="1:32" ht="11.25" hidden="1" customHeight="1">
      <c r="AF3" s="1548">
        <v>0</v>
      </c>
    </row>
    <row r="4" spans="1:32" s="2002" customFormat="1" ht="11.25" hidden="1" customHeight="1">
      <c r="A4" s="909"/>
      <c r="B4" s="1077"/>
      <c r="C4" s="1553"/>
      <c r="D4" s="296"/>
      <c r="J4" s="1549">
        <v>4</v>
      </c>
      <c r="K4" s="1077"/>
      <c r="L4" s="1553"/>
      <c r="M4" s="1553"/>
      <c r="N4" s="1077"/>
      <c r="O4" s="1077"/>
      <c r="P4" s="1077"/>
      <c r="Q4" s="1077"/>
      <c r="R4" s="1553"/>
      <c r="S4" s="1077"/>
      <c r="T4" s="1077"/>
      <c r="U4" s="478"/>
      <c r="V4" s="1077"/>
      <c r="W4" s="1077"/>
      <c r="X4" s="1077"/>
      <c r="Y4" s="1077"/>
      <c r="Z4" s="1077"/>
      <c r="AF4" s="1549">
        <v>0</v>
      </c>
    </row>
    <row r="5" spans="1:32" ht="11.5" customHeight="1">
      <c r="AF5" s="1548">
        <v>11</v>
      </c>
    </row>
    <row r="6" spans="1:32" ht="33.75" customHeight="1">
      <c r="E6" s="3183" t="s">
        <v>807</v>
      </c>
      <c r="F6" s="3183"/>
      <c r="G6" s="3183"/>
      <c r="H6" s="3183"/>
      <c r="I6" s="3183"/>
      <c r="J6" s="490"/>
      <c r="AF6" s="1548">
        <v>32</v>
      </c>
    </row>
    <row r="7" spans="1:32" ht="25.25" customHeight="1">
      <c r="E7" s="3131" t="str">
        <f>IF(org=0,"Не определено",org)</f>
        <v>ООО "РСО"</v>
      </c>
      <c r="F7" s="3131"/>
      <c r="G7" s="3131"/>
      <c r="H7" s="3131"/>
      <c r="I7" s="3131"/>
      <c r="AF7" s="1548">
        <v>24</v>
      </c>
    </row>
    <row r="8" spans="1:32" ht="11.5" customHeight="1">
      <c r="E8" s="1052"/>
      <c r="F8" s="1052"/>
      <c r="G8" s="1052"/>
      <c r="H8" s="1052"/>
      <c r="I8" s="1052"/>
      <c r="AF8" s="1548">
        <v>11</v>
      </c>
    </row>
    <row r="9" spans="1:32" s="2017" customFormat="1" ht="1" customHeight="1">
      <c r="A9" s="1084"/>
      <c r="D9" s="1559"/>
      <c r="H9" s="812"/>
      <c r="I9" s="812" t="s">
        <v>131</v>
      </c>
      <c r="AF9" s="1553">
        <v>1</v>
      </c>
    </row>
    <row r="10" spans="1:32" ht="11.5" customHeight="1">
      <c r="E10" s="645"/>
      <c r="F10" s="3282" t="s">
        <v>120</v>
      </c>
      <c r="G10" s="3283"/>
      <c r="H10" s="1576" t="str">
        <f>IF(H9="","",INDEX(DIFFERENTIATION_UNMERGE_VD,MATCH(H9,DIFFERENTIATION_ID_DIFF,0)))</f>
        <v/>
      </c>
      <c r="I10" s="1576">
        <f>IF(I9="","",INDEX(DIFFERENTIATION_UNMERGE_VD,MATCH(I9,DIFFERENTIATION_ID_DIFF,0)))</f>
        <v>0</v>
      </c>
      <c r="J10" s="3067"/>
      <c r="AF10" s="1548">
        <v>11</v>
      </c>
    </row>
    <row r="11" spans="1:32" ht="11.5" customHeight="1">
      <c r="E11" s="645"/>
      <c r="F11" s="3282" t="s">
        <v>597</v>
      </c>
      <c r="G11" s="3283"/>
      <c r="H11" s="1576" t="str">
        <f>IF(H9="","",INDEX(DIFFERENTIATION_UNMERGE_AREA,MATCH(H9,DIFFERENTIATION_ID_DIFF,0)))</f>
        <v/>
      </c>
      <c r="I11" s="1576" t="str">
        <f>IF(I9="","",INDEX(DIFFERENTIATION_UNMERGE_AREA,MATCH(I9,DIFFERENTIATION_ID_DIFF,0)))</f>
        <v/>
      </c>
      <c r="J11" s="3067"/>
      <c r="AF11" s="1548">
        <v>11</v>
      </c>
    </row>
    <row r="12" spans="1:32" ht="11.25" hidden="1" customHeight="1">
      <c r="E12" s="1579"/>
      <c r="F12" s="3302" t="s">
        <v>598</v>
      </c>
      <c r="G12" s="3303"/>
      <c r="H12" s="1580" t="str">
        <f>IF(H9="","",INDEX(DIFFERENTIATION_UNMERGE_SYSTEM,MATCH(H9,DIFFERENTIATION_ID_DIFF,0)))</f>
        <v/>
      </c>
      <c r="I12" s="1580" t="str">
        <f>IF(I9="","",INDEX(DIFFERENTIATION_UNMERGE_SYSTEM,MATCH(I9,DIFFERENTIATION_ID_DIFF,0)))</f>
        <v>без дифференциации</v>
      </c>
      <c r="J12" s="3067"/>
      <c r="AF12" s="1548">
        <v>0</v>
      </c>
    </row>
    <row r="13" spans="1:32" ht="11.5" customHeight="1">
      <c r="E13" s="3284" t="s">
        <v>335</v>
      </c>
      <c r="F13" s="3285"/>
      <c r="G13" s="3285"/>
      <c r="H13" s="1573"/>
      <c r="I13" s="1573"/>
      <c r="J13" s="3067"/>
      <c r="AF13" s="1548">
        <v>11</v>
      </c>
    </row>
    <row r="14" spans="1:32" ht="24" customHeight="1">
      <c r="E14" s="1574" t="s">
        <v>89</v>
      </c>
      <c r="F14" s="1577" t="s">
        <v>337</v>
      </c>
      <c r="G14" s="1577" t="s">
        <v>599</v>
      </c>
      <c r="H14" s="1577" t="s">
        <v>338</v>
      </c>
      <c r="I14" s="1577" t="s">
        <v>338</v>
      </c>
      <c r="J14" s="3067"/>
      <c r="AF14" s="1548">
        <v>23</v>
      </c>
    </row>
    <row r="15" spans="1:32" ht="20" customHeight="1">
      <c r="D15" s="1555"/>
      <c r="E15" s="1547" t="s">
        <v>124</v>
      </c>
      <c r="F15" s="641" t="s">
        <v>808</v>
      </c>
      <c r="G15" s="1574" t="s">
        <v>585</v>
      </c>
      <c r="H15" s="491"/>
      <c r="I15" s="491"/>
      <c r="J15" s="224" t="s">
        <v>809</v>
      </c>
      <c r="K15" s="477" t="s">
        <v>663</v>
      </c>
      <c r="AF15" s="1548">
        <v>19</v>
      </c>
    </row>
    <row r="16" spans="1:32" ht="24" customHeight="1">
      <c r="D16" s="1555"/>
      <c r="E16" s="1547" t="s">
        <v>104</v>
      </c>
      <c r="F16" s="1582" t="s">
        <v>810</v>
      </c>
      <c r="G16" s="1574" t="s">
        <v>585</v>
      </c>
      <c r="H16" s="492">
        <f>SUM(H17,H20:H27)</f>
        <v>0</v>
      </c>
      <c r="I16" s="492">
        <f>SUM(I17,I20:I27)</f>
        <v>0</v>
      </c>
      <c r="J16" s="224" t="s">
        <v>811</v>
      </c>
      <c r="K16" s="477" t="s">
        <v>663</v>
      </c>
      <c r="AF16" s="1548">
        <v>23</v>
      </c>
    </row>
    <row r="17" spans="1:32" ht="35.65" customHeight="1">
      <c r="D17" s="1555"/>
      <c r="E17" s="1581" t="s">
        <v>741</v>
      </c>
      <c r="F17" s="1584" t="s">
        <v>812</v>
      </c>
      <c r="G17" s="1571" t="s">
        <v>585</v>
      </c>
      <c r="H17" s="491"/>
      <c r="I17" s="491"/>
      <c r="J17" s="224" t="s">
        <v>813</v>
      </c>
      <c r="K17" s="477"/>
      <c r="AF17" s="1548">
        <v>34</v>
      </c>
    </row>
    <row r="18" spans="1:32" ht="20" customHeight="1">
      <c r="D18" s="1555"/>
      <c r="E18" s="1581" t="s">
        <v>744</v>
      </c>
      <c r="F18" s="1585" t="s">
        <v>814</v>
      </c>
      <c r="G18" s="1571" t="s">
        <v>585</v>
      </c>
      <c r="H18" s="491"/>
      <c r="I18" s="491"/>
      <c r="J18" s="224"/>
      <c r="K18" s="477"/>
      <c r="AF18" s="1548">
        <v>19</v>
      </c>
    </row>
    <row r="19" spans="1:32" ht="24" customHeight="1">
      <c r="D19" s="1555"/>
      <c r="E19" s="1581" t="s">
        <v>747</v>
      </c>
      <c r="F19" s="1585" t="s">
        <v>815</v>
      </c>
      <c r="G19" s="1571" t="s">
        <v>585</v>
      </c>
      <c r="H19" s="491"/>
      <c r="I19" s="491"/>
      <c r="J19" s="224"/>
      <c r="K19" s="477"/>
      <c r="AF19" s="1548">
        <v>23</v>
      </c>
    </row>
    <row r="20" spans="1:32" ht="35.65" customHeight="1">
      <c r="D20" s="1555"/>
      <c r="E20" s="1581" t="s">
        <v>342</v>
      </c>
      <c r="F20" s="1584" t="s">
        <v>816</v>
      </c>
      <c r="G20" s="1571" t="s">
        <v>585</v>
      </c>
      <c r="H20" s="491"/>
      <c r="I20" s="491"/>
      <c r="J20" s="224"/>
      <c r="K20" s="477"/>
      <c r="AF20" s="1548">
        <v>34</v>
      </c>
    </row>
    <row r="21" spans="1:32" ht="48.25" customHeight="1">
      <c r="D21" s="1555"/>
      <c r="E21" s="1581" t="s">
        <v>345</v>
      </c>
      <c r="F21" s="1584" t="s">
        <v>817</v>
      </c>
      <c r="G21" s="1571" t="s">
        <v>585</v>
      </c>
      <c r="H21" s="491"/>
      <c r="I21" s="491"/>
      <c r="J21" s="224"/>
      <c r="K21" s="477"/>
      <c r="AF21" s="1548">
        <v>46</v>
      </c>
    </row>
    <row r="22" spans="1:32" ht="60" customHeight="1">
      <c r="D22" s="1555"/>
      <c r="E22" s="1581" t="s">
        <v>761</v>
      </c>
      <c r="F22" s="1584" t="s">
        <v>818</v>
      </c>
      <c r="G22" s="1571" t="s">
        <v>585</v>
      </c>
      <c r="H22" s="491"/>
      <c r="I22" s="491"/>
      <c r="J22" s="224"/>
      <c r="K22" s="477"/>
      <c r="AF22" s="1548">
        <v>57</v>
      </c>
    </row>
    <row r="23" spans="1:32" ht="35.65" customHeight="1">
      <c r="D23" s="1555"/>
      <c r="E23" s="1581" t="s">
        <v>768</v>
      </c>
      <c r="F23" s="1584" t="s">
        <v>819</v>
      </c>
      <c r="G23" s="1571" t="s">
        <v>585</v>
      </c>
      <c r="H23" s="491"/>
      <c r="I23" s="491"/>
      <c r="J23" s="224"/>
      <c r="K23" s="477"/>
      <c r="AF23" s="1548">
        <v>34</v>
      </c>
    </row>
    <row r="24" spans="1:32" ht="35.65" customHeight="1">
      <c r="D24" s="1555"/>
      <c r="E24" s="1581" t="s">
        <v>770</v>
      </c>
      <c r="F24" s="1584" t="s">
        <v>820</v>
      </c>
      <c r="G24" s="1571" t="s">
        <v>585</v>
      </c>
      <c r="H24" s="491"/>
      <c r="I24" s="491"/>
      <c r="J24" s="224"/>
      <c r="K24" s="477"/>
      <c r="AF24" s="1548">
        <v>34</v>
      </c>
    </row>
    <row r="25" spans="1:32" ht="24" customHeight="1">
      <c r="D25" s="1555"/>
      <c r="E25" s="1581" t="s">
        <v>772</v>
      </c>
      <c r="F25" s="1584" t="s">
        <v>821</v>
      </c>
      <c r="G25" s="1571" t="s">
        <v>585</v>
      </c>
      <c r="H25" s="491"/>
      <c r="I25" s="491"/>
      <c r="J25" s="224"/>
      <c r="K25" s="477"/>
      <c r="AF25" s="1548">
        <v>23</v>
      </c>
    </row>
    <row r="26" spans="1:32" ht="76.5" customHeight="1">
      <c r="D26" s="1555"/>
      <c r="E26" s="1581" t="s">
        <v>774</v>
      </c>
      <c r="F26" s="1584" t="s">
        <v>822</v>
      </c>
      <c r="G26" s="1571" t="s">
        <v>585</v>
      </c>
      <c r="H26" s="491"/>
      <c r="I26" s="491"/>
      <c r="J26" s="224"/>
      <c r="K26" s="477"/>
      <c r="AF26" s="1548">
        <v>73</v>
      </c>
    </row>
    <row r="27" spans="1:32" s="2016" customFormat="1" ht="35.65" customHeight="1">
      <c r="A27" s="909"/>
      <c r="C27" s="1553"/>
      <c r="D27" s="1555"/>
      <c r="E27" s="1546" t="s">
        <v>778</v>
      </c>
      <c r="F27" s="1545" t="s">
        <v>823</v>
      </c>
      <c r="G27" s="1572" t="s">
        <v>585</v>
      </c>
      <c r="H27" s="513">
        <f>SUM(H28:H29)</f>
        <v>0</v>
      </c>
      <c r="I27" s="513">
        <f>SUM(I28:I29)</f>
        <v>0</v>
      </c>
      <c r="J27" s="224" t="s">
        <v>776</v>
      </c>
      <c r="K27" s="477"/>
      <c r="L27" s="1553"/>
      <c r="M27" s="1553"/>
      <c r="R27" s="1553"/>
      <c r="U27" s="478"/>
      <c r="AA27" s="1549"/>
      <c r="AB27" s="1549"/>
      <c r="AC27" s="1549"/>
      <c r="AD27" s="1549"/>
      <c r="AE27" s="1549"/>
      <c r="AF27" s="1077">
        <v>34</v>
      </c>
    </row>
    <row r="28" spans="1:32" s="2017" customFormat="1" ht="1" customHeight="1">
      <c r="A28" s="1084"/>
      <c r="D28" s="482"/>
      <c r="E28" s="730" t="str">
        <f>E27&amp;".0"</f>
        <v>2.9.0</v>
      </c>
      <c r="F28" s="913"/>
      <c r="G28" s="485"/>
      <c r="H28" s="914"/>
      <c r="I28" s="914"/>
      <c r="J28" s="915"/>
      <c r="AF28" s="1553">
        <v>1</v>
      </c>
    </row>
    <row r="29" spans="1:32" s="2016" customFormat="1" ht="20" customHeight="1">
      <c r="A29" s="909"/>
      <c r="C29" s="1553"/>
      <c r="D29" s="1550"/>
      <c r="E29" s="504"/>
      <c r="F29" s="1583" t="s">
        <v>610</v>
      </c>
      <c r="G29" s="506"/>
      <c r="H29" s="507"/>
      <c r="I29" s="507"/>
      <c r="J29" s="236" t="s">
        <v>777</v>
      </c>
      <c r="K29" s="477"/>
      <c r="L29" s="1553"/>
      <c r="M29" s="1553"/>
      <c r="R29" s="1553"/>
      <c r="U29" s="478"/>
      <c r="AA29" s="1549"/>
      <c r="AB29" s="1549"/>
      <c r="AC29" s="1549"/>
      <c r="AD29" s="1549"/>
      <c r="AE29" s="1549"/>
      <c r="AF29" s="1077">
        <v>19</v>
      </c>
    </row>
    <row r="30" spans="1:32" s="2016" customFormat="1" ht="24" customHeight="1">
      <c r="A30" s="909"/>
      <c r="C30" s="1553"/>
      <c r="D30" s="1555"/>
      <c r="E30" s="1581" t="s">
        <v>91</v>
      </c>
      <c r="F30" s="1578" t="s">
        <v>824</v>
      </c>
      <c r="G30" s="1571" t="s">
        <v>585</v>
      </c>
      <c r="H30" s="491"/>
      <c r="I30" s="491"/>
      <c r="J30" s="224"/>
      <c r="K30" s="477"/>
      <c r="L30" s="1553"/>
      <c r="M30" s="1553"/>
      <c r="R30" s="1553"/>
      <c r="U30" s="478"/>
      <c r="AA30" s="1549"/>
      <c r="AB30" s="1549"/>
      <c r="AC30" s="1549"/>
      <c r="AD30" s="1549"/>
      <c r="AE30" s="1549"/>
      <c r="AF30" s="1077">
        <v>23</v>
      </c>
    </row>
    <row r="31" spans="1:32" s="2016" customFormat="1" ht="35.65" customHeight="1">
      <c r="A31" s="909"/>
      <c r="C31" s="1553"/>
      <c r="D31" s="509"/>
      <c r="E31" s="1581" t="s">
        <v>92</v>
      </c>
      <c r="F31" s="1578" t="s">
        <v>825</v>
      </c>
      <c r="G31" s="1571" t="s">
        <v>585</v>
      </c>
      <c r="H31" s="491"/>
      <c r="I31" s="491"/>
      <c r="J31" s="224" t="s">
        <v>826</v>
      </c>
      <c r="K31" s="477"/>
      <c r="L31" s="1553"/>
      <c r="M31" s="1553"/>
      <c r="R31" s="1553"/>
      <c r="U31" s="478"/>
      <c r="AA31" s="1549"/>
      <c r="AB31" s="1549"/>
      <c r="AC31" s="1549"/>
      <c r="AD31" s="1549"/>
      <c r="AE31" s="1549"/>
      <c r="AF31" s="1077">
        <v>34</v>
      </c>
    </row>
    <row r="32" spans="1:32" s="2016" customFormat="1" ht="24" customHeight="1">
      <c r="A32" s="909"/>
      <c r="C32" s="1553"/>
      <c r="D32" s="1555"/>
      <c r="E32" s="1581" t="s">
        <v>786</v>
      </c>
      <c r="F32" s="624" t="s">
        <v>790</v>
      </c>
      <c r="G32" s="1571" t="s">
        <v>585</v>
      </c>
      <c r="H32" s="491"/>
      <c r="I32" s="491"/>
      <c r="J32" s="224" t="s">
        <v>827</v>
      </c>
      <c r="K32" s="477"/>
      <c r="L32" s="1553"/>
      <c r="M32" s="1553"/>
      <c r="R32" s="1553"/>
      <c r="U32" s="478"/>
      <c r="AA32" s="1549"/>
      <c r="AB32" s="1549"/>
      <c r="AC32" s="1549"/>
      <c r="AD32" s="1549"/>
      <c r="AE32" s="1549"/>
      <c r="AF32" s="1077">
        <v>23</v>
      </c>
    </row>
    <row r="33" spans="1:32" s="2016" customFormat="1" ht="24" customHeight="1">
      <c r="A33" s="909"/>
      <c r="C33" s="1553"/>
      <c r="D33" s="1555"/>
      <c r="E33" s="1581" t="s">
        <v>828</v>
      </c>
      <c r="F33" s="624" t="s">
        <v>829</v>
      </c>
      <c r="G33" s="1571" t="s">
        <v>585</v>
      </c>
      <c r="H33" s="491"/>
      <c r="I33" s="491"/>
      <c r="J33" s="224" t="s">
        <v>830</v>
      </c>
      <c r="K33" s="477"/>
      <c r="L33" s="1553"/>
      <c r="M33" s="1553"/>
      <c r="R33" s="1553"/>
      <c r="U33" s="478"/>
      <c r="AA33" s="1549"/>
      <c r="AB33" s="1549"/>
      <c r="AC33" s="1549"/>
      <c r="AD33" s="1549"/>
      <c r="AE33" s="1549"/>
      <c r="AF33" s="1077">
        <v>23</v>
      </c>
    </row>
    <row r="34" spans="1:32" s="2016" customFormat="1" ht="24" customHeight="1">
      <c r="A34" s="909"/>
      <c r="C34" s="1553"/>
      <c r="D34" s="1555"/>
      <c r="E34" s="1581" t="s">
        <v>831</v>
      </c>
      <c r="F34" s="624" t="s">
        <v>796</v>
      </c>
      <c r="G34" s="1571" t="s">
        <v>585</v>
      </c>
      <c r="H34" s="491"/>
      <c r="I34" s="491"/>
      <c r="J34" s="224" t="s">
        <v>832</v>
      </c>
      <c r="K34" s="477"/>
      <c r="L34" s="1553"/>
      <c r="M34" s="1553"/>
      <c r="R34" s="1553"/>
      <c r="U34" s="478"/>
      <c r="AA34" s="1549"/>
      <c r="AB34" s="1549"/>
      <c r="AC34" s="1549"/>
      <c r="AD34" s="1549"/>
      <c r="AE34" s="1549"/>
      <c r="AF34" s="1077">
        <v>23</v>
      </c>
    </row>
    <row r="35" spans="1:32" s="2016" customFormat="1" ht="35.65" customHeight="1">
      <c r="A35" s="909"/>
      <c r="C35" s="1553" t="s">
        <v>621</v>
      </c>
      <c r="D35" s="1555"/>
      <c r="E35" s="1581" t="s">
        <v>125</v>
      </c>
      <c r="F35" s="1578" t="s">
        <v>662</v>
      </c>
      <c r="G35" s="1574" t="s">
        <v>341</v>
      </c>
      <c r="H35" s="335"/>
      <c r="I35" s="335"/>
      <c r="J35" s="224" t="s">
        <v>833</v>
      </c>
      <c r="K35" s="477"/>
      <c r="L35" s="1553"/>
      <c r="M35" s="1553"/>
      <c r="R35" s="1553"/>
      <c r="U35" s="478"/>
      <c r="AA35" s="1549"/>
      <c r="AB35" s="1549"/>
      <c r="AC35" s="1549"/>
      <c r="AD35" s="1549"/>
      <c r="AE35" s="1549"/>
      <c r="AF35" s="1077">
        <v>34</v>
      </c>
    </row>
    <row r="36" spans="1:32" s="2016" customFormat="1" ht="35.65" customHeight="1">
      <c r="A36" s="909"/>
      <c r="C36" s="1553"/>
      <c r="D36" s="1555"/>
      <c r="E36" s="1581" t="s">
        <v>93</v>
      </c>
      <c r="F36" s="1578" t="s">
        <v>834</v>
      </c>
      <c r="G36" s="1571" t="s">
        <v>801</v>
      </c>
      <c r="H36" s="479"/>
      <c r="I36" s="479"/>
      <c r="J36" s="224" t="s">
        <v>802</v>
      </c>
      <c r="K36" s="477"/>
      <c r="L36" s="1553"/>
      <c r="M36" s="1553"/>
      <c r="R36" s="1553"/>
      <c r="U36" s="478"/>
      <c r="AA36" s="1549"/>
      <c r="AB36" s="1549"/>
      <c r="AC36" s="1549"/>
      <c r="AD36" s="1549"/>
      <c r="AE36" s="1549"/>
      <c r="AF36" s="1077">
        <v>34</v>
      </c>
    </row>
    <row r="37" spans="1:32" s="2016" customFormat="1" ht="24" customHeight="1">
      <c r="A37" s="909"/>
      <c r="C37" s="1553"/>
      <c r="D37" s="1555"/>
      <c r="E37" s="1581" t="s">
        <v>94</v>
      </c>
      <c r="F37" s="1578" t="s">
        <v>835</v>
      </c>
      <c r="G37" s="1571" t="s">
        <v>804</v>
      </c>
      <c r="H37" s="479"/>
      <c r="I37" s="479"/>
      <c r="J37" s="224" t="s">
        <v>805</v>
      </c>
      <c r="K37" s="477"/>
      <c r="L37" s="1553"/>
      <c r="M37" s="1553"/>
      <c r="R37" s="1553"/>
      <c r="U37" s="478"/>
      <c r="AA37" s="1549"/>
      <c r="AB37" s="1549"/>
      <c r="AC37" s="1549"/>
      <c r="AD37" s="1549"/>
      <c r="AE37" s="1549"/>
      <c r="AF37" s="1077">
        <v>23</v>
      </c>
    </row>
    <row r="38" spans="1:32" ht="11.5" customHeight="1">
      <c r="D38" s="1555"/>
      <c r="AF38" s="1548">
        <v>11</v>
      </c>
    </row>
    <row r="39" spans="1:32" ht="27.25" customHeight="1">
      <c r="D39" s="1555"/>
      <c r="E39" s="1170" t="s">
        <v>836</v>
      </c>
      <c r="F39" s="3219" t="s">
        <v>837</v>
      </c>
      <c r="G39" s="3219"/>
      <c r="H39" s="303"/>
      <c r="I39" s="303"/>
      <c r="J39" s="303"/>
      <c r="AF39" s="1548">
        <v>26</v>
      </c>
    </row>
    <row r="40" spans="1:32" s="2212" customFormat="1" ht="39.75" customHeight="1">
      <c r="A40" s="909"/>
      <c r="B40" s="1553"/>
      <c r="C40" s="1553"/>
      <c r="D40" s="285"/>
      <c r="F40" s="3219" t="s">
        <v>838</v>
      </c>
      <c r="G40" s="3219"/>
      <c r="H40" s="303"/>
      <c r="I40" s="303"/>
      <c r="J40" s="303"/>
      <c r="K40" s="1077"/>
      <c r="L40" s="1553"/>
      <c r="M40" s="1553"/>
      <c r="N40" s="1077"/>
      <c r="O40" s="1077"/>
      <c r="P40" s="1077"/>
      <c r="Q40" s="1077"/>
      <c r="R40" s="1553"/>
      <c r="S40" s="1077"/>
      <c r="T40" s="1077"/>
      <c r="U40" s="478"/>
      <c r="V40" s="1077"/>
      <c r="W40" s="1077"/>
      <c r="X40" s="1077"/>
      <c r="Y40" s="1077"/>
      <c r="Z40" s="1077"/>
      <c r="AA40" s="1549"/>
      <c r="AB40" s="500"/>
      <c r="AC40" s="500"/>
      <c r="AD40" s="500"/>
      <c r="AE40" s="500"/>
      <c r="AF40" s="1558">
        <v>38</v>
      </c>
    </row>
    <row r="41" spans="1:32" s="2212" customFormat="1" ht="11.5" customHeight="1">
      <c r="A41" s="909"/>
      <c r="B41" s="1553"/>
      <c r="C41" s="1553"/>
      <c r="D41" s="285"/>
      <c r="K41" s="1077"/>
      <c r="L41" s="1553"/>
      <c r="M41" s="1553"/>
      <c r="N41" s="1077"/>
      <c r="O41" s="1077"/>
      <c r="P41" s="1077"/>
      <c r="Q41" s="1077"/>
      <c r="R41" s="1553"/>
      <c r="S41" s="1077"/>
      <c r="T41" s="1077"/>
      <c r="U41" s="478"/>
      <c r="V41" s="1077"/>
      <c r="W41" s="1077"/>
      <c r="X41" s="1077"/>
      <c r="Y41" s="1077"/>
      <c r="Z41" s="1077"/>
      <c r="AA41" s="1549"/>
      <c r="AB41" s="500"/>
      <c r="AC41" s="500"/>
      <c r="AD41" s="500"/>
      <c r="AE41" s="500"/>
      <c r="AF41" s="1558">
        <v>11</v>
      </c>
    </row>
    <row r="42" spans="1:32" s="2212" customFormat="1" ht="11.5" customHeight="1">
      <c r="A42" s="909"/>
      <c r="B42" s="1553"/>
      <c r="C42" s="1553"/>
      <c r="D42" s="285"/>
      <c r="K42" s="1077"/>
      <c r="L42" s="1553"/>
      <c r="M42" s="1553"/>
      <c r="N42" s="1077"/>
      <c r="O42" s="1077"/>
      <c r="P42" s="1077"/>
      <c r="Q42" s="1077"/>
      <c r="R42" s="1553"/>
      <c r="S42" s="1077"/>
      <c r="T42" s="1077"/>
      <c r="U42" s="478"/>
      <c r="V42" s="1077"/>
      <c r="W42" s="1077"/>
      <c r="X42" s="1077"/>
      <c r="Y42" s="1077"/>
      <c r="Z42" s="1077"/>
      <c r="AA42" s="1549"/>
      <c r="AB42" s="500"/>
      <c r="AC42" s="500"/>
      <c r="AD42" s="500"/>
      <c r="AE42" s="500"/>
      <c r="AF42" s="1558">
        <v>11</v>
      </c>
    </row>
    <row r="43" spans="1:32" s="2212" customFormat="1" ht="11.5" customHeight="1">
      <c r="A43" s="909"/>
      <c r="B43" s="1553"/>
      <c r="C43" s="1553"/>
      <c r="D43" s="285"/>
      <c r="H43" s="500"/>
      <c r="I43" s="500"/>
      <c r="K43" s="1077"/>
      <c r="L43" s="1553"/>
      <c r="M43" s="1553"/>
      <c r="N43" s="1077"/>
      <c r="O43" s="1077"/>
      <c r="P43" s="1077"/>
      <c r="Q43" s="1077"/>
      <c r="R43" s="1553"/>
      <c r="S43" s="1077"/>
      <c r="T43" s="1077"/>
      <c r="U43" s="478"/>
      <c r="V43" s="1077"/>
      <c r="W43" s="1077"/>
      <c r="X43" s="1077"/>
      <c r="Y43" s="1077"/>
      <c r="Z43" s="1077"/>
      <c r="AA43" s="1549"/>
      <c r="AB43" s="500"/>
      <c r="AC43" s="500"/>
      <c r="AD43" s="500"/>
      <c r="AE43" s="500"/>
      <c r="AF43" s="1558">
        <v>11</v>
      </c>
    </row>
    <row r="44" spans="1:32" s="2212" customFormat="1" ht="11.5" customHeight="1">
      <c r="A44" s="909"/>
      <c r="B44" s="1553"/>
      <c r="C44" s="1553"/>
      <c r="D44" s="285"/>
      <c r="K44" s="1077"/>
      <c r="L44" s="1553"/>
      <c r="M44" s="1553"/>
      <c r="N44" s="1077"/>
      <c r="O44" s="1077"/>
      <c r="P44" s="1077"/>
      <c r="Q44" s="1077"/>
      <c r="R44" s="1553"/>
      <c r="S44" s="1077"/>
      <c r="T44" s="1077"/>
      <c r="U44" s="478"/>
      <c r="V44" s="1077"/>
      <c r="W44" s="1077"/>
      <c r="X44" s="1077"/>
      <c r="Y44" s="1077"/>
      <c r="Z44" s="1077"/>
      <c r="AA44" s="1549"/>
      <c r="AB44" s="500"/>
      <c r="AC44" s="500"/>
      <c r="AD44" s="500"/>
      <c r="AE44" s="500"/>
      <c r="AF44" s="1558">
        <v>11</v>
      </c>
    </row>
    <row r="45" spans="1:32" s="2212" customFormat="1" ht="11.5" customHeight="1">
      <c r="A45" s="909"/>
      <c r="B45" s="1553"/>
      <c r="C45" s="1553"/>
      <c r="D45" s="285"/>
      <c r="K45" s="1077"/>
      <c r="L45" s="1553"/>
      <c r="M45" s="1553"/>
      <c r="N45" s="1077"/>
      <c r="O45" s="1077"/>
      <c r="P45" s="1077"/>
      <c r="Q45" s="1077"/>
      <c r="R45" s="1553"/>
      <c r="S45" s="1077"/>
      <c r="T45" s="1077"/>
      <c r="U45" s="478"/>
      <c r="V45" s="1077"/>
      <c r="W45" s="1077"/>
      <c r="X45" s="1077"/>
      <c r="Y45" s="1077"/>
      <c r="Z45" s="1077"/>
      <c r="AA45" s="1549"/>
      <c r="AB45" s="500"/>
      <c r="AC45" s="500"/>
      <c r="AD45" s="500"/>
      <c r="AE45" s="500"/>
      <c r="AF45" s="1558">
        <v>11</v>
      </c>
    </row>
    <row r="46" spans="1:32" s="2212" customFormat="1" ht="11.5" customHeight="1">
      <c r="A46" s="909"/>
      <c r="B46" s="1553"/>
      <c r="C46" s="1553"/>
      <c r="D46" s="285"/>
      <c r="K46" s="1077"/>
      <c r="L46" s="1553"/>
      <c r="M46" s="1553"/>
      <c r="N46" s="1077"/>
      <c r="O46" s="1077"/>
      <c r="P46" s="1077"/>
      <c r="Q46" s="1077"/>
      <c r="R46" s="1553"/>
      <c r="S46" s="1077"/>
      <c r="T46" s="1077"/>
      <c r="U46" s="478"/>
      <c r="V46" s="1077"/>
      <c r="W46" s="1077"/>
      <c r="X46" s="1077"/>
      <c r="Y46" s="1077"/>
      <c r="Z46" s="1077"/>
      <c r="AA46" s="1549"/>
      <c r="AB46" s="500"/>
      <c r="AC46" s="500"/>
      <c r="AD46" s="500"/>
      <c r="AE46" s="500"/>
      <c r="AF46" s="1558">
        <v>11</v>
      </c>
    </row>
    <row r="47" spans="1:32" s="2212" customFormat="1" ht="11.5" customHeight="1">
      <c r="A47" s="909"/>
      <c r="B47" s="1553"/>
      <c r="C47" s="1553"/>
      <c r="D47" s="285"/>
      <c r="K47" s="1077"/>
      <c r="L47" s="1553"/>
      <c r="M47" s="1553"/>
      <c r="N47" s="1077"/>
      <c r="O47" s="1077"/>
      <c r="P47" s="1077"/>
      <c r="Q47" s="1077"/>
      <c r="R47" s="1553"/>
      <c r="S47" s="1077"/>
      <c r="T47" s="1077"/>
      <c r="U47" s="478"/>
      <c r="V47" s="1077"/>
      <c r="W47" s="1077"/>
      <c r="X47" s="1077"/>
      <c r="Y47" s="1077"/>
      <c r="Z47" s="1077"/>
      <c r="AA47" s="1549"/>
      <c r="AB47" s="500"/>
      <c r="AC47" s="500"/>
      <c r="AD47" s="500"/>
      <c r="AE47" s="500"/>
      <c r="AF47" s="1558">
        <v>11</v>
      </c>
    </row>
    <row r="48" spans="1:32" s="2212" customFormat="1" ht="11.5" customHeight="1">
      <c r="A48" s="909"/>
      <c r="B48" s="1553"/>
      <c r="C48" s="1553"/>
      <c r="D48" s="285"/>
      <c r="K48" s="1077"/>
      <c r="L48" s="1553"/>
      <c r="M48" s="1553"/>
      <c r="N48" s="1077"/>
      <c r="O48" s="1077"/>
      <c r="P48" s="1077"/>
      <c r="Q48" s="1077"/>
      <c r="R48" s="1553"/>
      <c r="S48" s="1077"/>
      <c r="T48" s="1077"/>
      <c r="U48" s="478"/>
      <c r="V48" s="1077"/>
      <c r="W48" s="1077"/>
      <c r="X48" s="1077"/>
      <c r="Y48" s="1077"/>
      <c r="Z48" s="1077"/>
      <c r="AA48" s="1549"/>
      <c r="AB48" s="500"/>
      <c r="AC48" s="500"/>
      <c r="AD48" s="500"/>
      <c r="AE48" s="500"/>
      <c r="AF48" s="1558">
        <v>11</v>
      </c>
    </row>
    <row r="49" spans="1:32" s="2212" customFormat="1" ht="11.5" customHeight="1">
      <c r="A49" s="909"/>
      <c r="B49" s="1553"/>
      <c r="C49" s="1553"/>
      <c r="D49" s="285"/>
      <c r="K49" s="1077"/>
      <c r="L49" s="1553"/>
      <c r="M49" s="1553"/>
      <c r="N49" s="1077"/>
      <c r="O49" s="1077"/>
      <c r="P49" s="1077"/>
      <c r="Q49" s="1077"/>
      <c r="R49" s="1553"/>
      <c r="S49" s="1077"/>
      <c r="T49" s="1077"/>
      <c r="U49" s="478"/>
      <c r="V49" s="1077"/>
      <c r="W49" s="1077"/>
      <c r="X49" s="1077"/>
      <c r="Y49" s="1077"/>
      <c r="Z49" s="1077"/>
      <c r="AA49" s="1549"/>
      <c r="AB49" s="500"/>
      <c r="AC49" s="500"/>
      <c r="AD49" s="500"/>
      <c r="AE49" s="500"/>
      <c r="AF49" s="1558">
        <v>11</v>
      </c>
    </row>
    <row r="50" spans="1:32" s="2212" customFormat="1" ht="11.5" customHeight="1">
      <c r="A50" s="909"/>
      <c r="B50" s="1553"/>
      <c r="C50" s="1553"/>
      <c r="D50" s="285"/>
      <c r="K50" s="1077"/>
      <c r="L50" s="1553"/>
      <c r="M50" s="1553"/>
      <c r="N50" s="1077"/>
      <c r="O50" s="1077"/>
      <c r="P50" s="1077"/>
      <c r="Q50" s="1077"/>
      <c r="R50" s="1553"/>
      <c r="S50" s="1077"/>
      <c r="T50" s="1077"/>
      <c r="U50" s="478"/>
      <c r="V50" s="1077"/>
      <c r="W50" s="1077"/>
      <c r="X50" s="1077"/>
      <c r="Y50" s="1077"/>
      <c r="Z50" s="1077"/>
      <c r="AA50" s="1549"/>
      <c r="AB50" s="500"/>
      <c r="AC50" s="500"/>
      <c r="AD50" s="500"/>
      <c r="AE50" s="500"/>
      <c r="AF50" s="1558">
        <v>11</v>
      </c>
    </row>
    <row r="51" spans="1:32" s="2212" customFormat="1" ht="11.5" customHeight="1">
      <c r="A51" s="909"/>
      <c r="B51" s="1553"/>
      <c r="C51" s="1553"/>
      <c r="D51" s="285"/>
      <c r="K51" s="1077"/>
      <c r="L51" s="1553"/>
      <c r="M51" s="1553"/>
      <c r="N51" s="1077"/>
      <c r="O51" s="1077"/>
      <c r="P51" s="1077"/>
      <c r="Q51" s="1077"/>
      <c r="R51" s="1553"/>
      <c r="S51" s="1077"/>
      <c r="T51" s="1077"/>
      <c r="U51" s="478"/>
      <c r="V51" s="1077"/>
      <c r="W51" s="1077"/>
      <c r="X51" s="1077"/>
      <c r="Y51" s="1077"/>
      <c r="Z51" s="1077"/>
      <c r="AA51" s="1549"/>
      <c r="AB51" s="500"/>
      <c r="AC51" s="500"/>
      <c r="AD51" s="500"/>
      <c r="AE51" s="500"/>
      <c r="AF51" s="1558">
        <v>11</v>
      </c>
    </row>
    <row r="52" spans="1:32" s="2212" customFormat="1" ht="11.5" customHeight="1">
      <c r="A52" s="909"/>
      <c r="B52" s="1553"/>
      <c r="C52" s="1553"/>
      <c r="D52" s="285"/>
      <c r="K52" s="1077"/>
      <c r="L52" s="1553"/>
      <c r="M52" s="1553"/>
      <c r="N52" s="1077"/>
      <c r="O52" s="1077"/>
      <c r="P52" s="1077"/>
      <c r="Q52" s="1077"/>
      <c r="R52" s="1553"/>
      <c r="S52" s="1077"/>
      <c r="T52" s="1077"/>
      <c r="U52" s="478"/>
      <c r="V52" s="1077"/>
      <c r="W52" s="1077"/>
      <c r="X52" s="1077"/>
      <c r="Y52" s="1077"/>
      <c r="Z52" s="1077"/>
      <c r="AA52" s="1549"/>
      <c r="AB52" s="500"/>
      <c r="AC52" s="500"/>
      <c r="AD52" s="500"/>
      <c r="AE52" s="500"/>
      <c r="AF52" s="1558">
        <v>11</v>
      </c>
    </row>
    <row r="53" spans="1:32" s="2212" customFormat="1" ht="11.5" customHeight="1">
      <c r="A53" s="909"/>
      <c r="B53" s="1553"/>
      <c r="C53" s="1553"/>
      <c r="D53" s="285"/>
      <c r="K53" s="1077"/>
      <c r="L53" s="1553"/>
      <c r="M53" s="1553"/>
      <c r="N53" s="1077"/>
      <c r="O53" s="1077"/>
      <c r="P53" s="1077"/>
      <c r="Q53" s="1077"/>
      <c r="R53" s="1553"/>
      <c r="S53" s="1077"/>
      <c r="T53" s="1077"/>
      <c r="U53" s="478"/>
      <c r="V53" s="1077"/>
      <c r="W53" s="1077"/>
      <c r="X53" s="1077"/>
      <c r="Y53" s="1077"/>
      <c r="Z53" s="1077"/>
      <c r="AA53" s="1549"/>
      <c r="AB53" s="500"/>
      <c r="AC53" s="500"/>
      <c r="AD53" s="500"/>
      <c r="AE53" s="500"/>
      <c r="AF53" s="1558">
        <v>11</v>
      </c>
    </row>
    <row r="54" spans="1:32" s="2212" customFormat="1" ht="11.5" customHeight="1">
      <c r="A54" s="909"/>
      <c r="B54" s="1553"/>
      <c r="C54" s="1553"/>
      <c r="D54" s="285"/>
      <c r="K54" s="1077"/>
      <c r="L54" s="1553"/>
      <c r="M54" s="1553"/>
      <c r="N54" s="1077"/>
      <c r="O54" s="1077"/>
      <c r="P54" s="1077"/>
      <c r="Q54" s="1077"/>
      <c r="R54" s="1553"/>
      <c r="S54" s="1077"/>
      <c r="T54" s="1077"/>
      <c r="U54" s="478"/>
      <c r="V54" s="1077"/>
      <c r="W54" s="1077"/>
      <c r="X54" s="1077"/>
      <c r="Y54" s="1077"/>
      <c r="Z54" s="1077"/>
      <c r="AA54" s="1549"/>
      <c r="AB54" s="500"/>
      <c r="AC54" s="500"/>
      <c r="AD54" s="500"/>
      <c r="AE54" s="500"/>
      <c r="AF54" s="1558">
        <v>11</v>
      </c>
    </row>
    <row r="55" spans="1:32" s="2212" customFormat="1" ht="11.5" customHeight="1">
      <c r="A55" s="909"/>
      <c r="B55" s="1553"/>
      <c r="C55" s="1553"/>
      <c r="D55" s="285"/>
      <c r="K55" s="1077"/>
      <c r="L55" s="1553"/>
      <c r="M55" s="1553"/>
      <c r="N55" s="1077"/>
      <c r="O55" s="1077"/>
      <c r="P55" s="1077"/>
      <c r="Q55" s="1077"/>
      <c r="R55" s="1553"/>
      <c r="S55" s="1077"/>
      <c r="T55" s="1077"/>
      <c r="U55" s="478"/>
      <c r="V55" s="1077"/>
      <c r="W55" s="1077"/>
      <c r="X55" s="1077"/>
      <c r="Y55" s="1077"/>
      <c r="Z55" s="1077"/>
      <c r="AA55" s="1549"/>
      <c r="AB55" s="500"/>
      <c r="AC55" s="500"/>
      <c r="AD55" s="500"/>
      <c r="AE55" s="500"/>
      <c r="AF55" s="1558">
        <v>11</v>
      </c>
    </row>
    <row r="56" spans="1:32" s="2212" customFormat="1" ht="11.5" customHeight="1">
      <c r="A56" s="909"/>
      <c r="B56" s="1553"/>
      <c r="C56" s="1553"/>
      <c r="D56" s="285"/>
      <c r="K56" s="1077"/>
      <c r="L56" s="1553"/>
      <c r="M56" s="1553"/>
      <c r="N56" s="1077"/>
      <c r="O56" s="1077"/>
      <c r="P56" s="1077"/>
      <c r="Q56" s="1077"/>
      <c r="R56" s="1553"/>
      <c r="S56" s="1077"/>
      <c r="T56" s="1077"/>
      <c r="U56" s="478"/>
      <c r="V56" s="1077"/>
      <c r="W56" s="1077"/>
      <c r="X56" s="1077"/>
      <c r="Y56" s="1077"/>
      <c r="Z56" s="1077"/>
      <c r="AA56" s="1549"/>
      <c r="AB56" s="500"/>
      <c r="AC56" s="500"/>
      <c r="AD56" s="500"/>
      <c r="AE56" s="500"/>
      <c r="AF56" s="1558">
        <v>11</v>
      </c>
    </row>
    <row r="57" spans="1:32" s="2212" customFormat="1" ht="11.5" customHeight="1">
      <c r="A57" s="909"/>
      <c r="B57" s="1553"/>
      <c r="C57" s="1553"/>
      <c r="D57" s="285"/>
      <c r="K57" s="1077"/>
      <c r="L57" s="1553"/>
      <c r="M57" s="1553"/>
      <c r="N57" s="1077"/>
      <c r="O57" s="1077"/>
      <c r="P57" s="1077"/>
      <c r="Q57" s="1077"/>
      <c r="R57" s="1553"/>
      <c r="S57" s="1077"/>
      <c r="T57" s="1077"/>
      <c r="U57" s="478"/>
      <c r="V57" s="1077"/>
      <c r="W57" s="1077"/>
      <c r="X57" s="1077"/>
      <c r="Y57" s="1077"/>
      <c r="Z57" s="1077"/>
      <c r="AA57" s="1549"/>
      <c r="AB57" s="500"/>
      <c r="AC57" s="500"/>
      <c r="AD57" s="500"/>
      <c r="AE57" s="500"/>
      <c r="AF57" s="1558">
        <v>11</v>
      </c>
    </row>
    <row r="58" spans="1:32" s="2212" customFormat="1" ht="11.5" customHeight="1">
      <c r="A58" s="909"/>
      <c r="B58" s="1553"/>
      <c r="C58" s="1553"/>
      <c r="D58" s="285"/>
      <c r="K58" s="1077"/>
      <c r="L58" s="1553"/>
      <c r="M58" s="1553"/>
      <c r="N58" s="1077"/>
      <c r="O58" s="1077"/>
      <c r="P58" s="1077"/>
      <c r="Q58" s="1077"/>
      <c r="R58" s="1553"/>
      <c r="S58" s="1077"/>
      <c r="T58" s="1077"/>
      <c r="U58" s="478"/>
      <c r="V58" s="1077"/>
      <c r="W58" s="1077"/>
      <c r="X58" s="1077"/>
      <c r="Y58" s="1077"/>
      <c r="Z58" s="1077"/>
      <c r="AA58" s="1549"/>
      <c r="AB58" s="500"/>
      <c r="AC58" s="500"/>
      <c r="AD58" s="500"/>
      <c r="AE58" s="500"/>
      <c r="AF58" s="1558">
        <v>11</v>
      </c>
    </row>
    <row r="59" spans="1:32" s="2212" customFormat="1" ht="11.5" customHeight="1">
      <c r="A59" s="909"/>
      <c r="B59" s="1553"/>
      <c r="C59" s="1553"/>
      <c r="D59" s="285"/>
      <c r="K59" s="1077"/>
      <c r="L59" s="1553"/>
      <c r="M59" s="1553"/>
      <c r="N59" s="1077"/>
      <c r="O59" s="1077"/>
      <c r="P59" s="1077"/>
      <c r="Q59" s="1077"/>
      <c r="R59" s="1553"/>
      <c r="S59" s="1077"/>
      <c r="T59" s="1077"/>
      <c r="U59" s="478"/>
      <c r="V59" s="1077"/>
      <c r="W59" s="1077"/>
      <c r="X59" s="1077"/>
      <c r="Y59" s="1077"/>
      <c r="Z59" s="1077"/>
      <c r="AA59" s="1549"/>
      <c r="AB59" s="500"/>
      <c r="AC59" s="500"/>
      <c r="AD59" s="500"/>
      <c r="AE59" s="500"/>
      <c r="AF59" s="1558">
        <v>11</v>
      </c>
    </row>
    <row r="60" spans="1:32" s="2212" customFormat="1" ht="11.5" customHeight="1">
      <c r="A60" s="909"/>
      <c r="B60" s="1553"/>
      <c r="C60" s="1553"/>
      <c r="D60" s="285"/>
      <c r="K60" s="1077"/>
      <c r="L60" s="1553"/>
      <c r="M60" s="1553"/>
      <c r="N60" s="1077"/>
      <c r="O60" s="1077"/>
      <c r="P60" s="1077"/>
      <c r="Q60" s="1077"/>
      <c r="R60" s="1553"/>
      <c r="S60" s="1077"/>
      <c r="T60" s="1077"/>
      <c r="U60" s="478"/>
      <c r="V60" s="1077"/>
      <c r="W60" s="1077"/>
      <c r="X60" s="1077"/>
      <c r="Y60" s="1077"/>
      <c r="Z60" s="1077"/>
      <c r="AA60" s="1549"/>
      <c r="AB60" s="500"/>
      <c r="AC60" s="500"/>
      <c r="AD60" s="500"/>
      <c r="AE60" s="500"/>
      <c r="AF60" s="1558">
        <v>11</v>
      </c>
    </row>
    <row r="61" spans="1:32" s="2212" customFormat="1" ht="11.5" customHeight="1">
      <c r="A61" s="909"/>
      <c r="B61" s="1553"/>
      <c r="C61" s="1553"/>
      <c r="D61" s="285"/>
      <c r="K61" s="1077"/>
      <c r="L61" s="1553"/>
      <c r="M61" s="1553"/>
      <c r="N61" s="1077"/>
      <c r="O61" s="1077"/>
      <c r="P61" s="1077"/>
      <c r="Q61" s="1077"/>
      <c r="R61" s="1553"/>
      <c r="S61" s="1077"/>
      <c r="T61" s="1077"/>
      <c r="U61" s="478"/>
      <c r="V61" s="1077"/>
      <c r="W61" s="1077"/>
      <c r="X61" s="1077"/>
      <c r="Y61" s="1077"/>
      <c r="Z61" s="1077"/>
      <c r="AA61" s="1549"/>
      <c r="AB61" s="500"/>
      <c r="AC61" s="500"/>
      <c r="AD61" s="500"/>
      <c r="AE61" s="500"/>
      <c r="AF61" s="1558">
        <v>11</v>
      </c>
    </row>
    <row r="62" spans="1:32" s="2212" customFormat="1" ht="11.5" customHeight="1">
      <c r="A62" s="909"/>
      <c r="B62" s="1553"/>
      <c r="C62" s="1553"/>
      <c r="D62" s="285"/>
      <c r="K62" s="1077"/>
      <c r="L62" s="1553"/>
      <c r="M62" s="1553"/>
      <c r="N62" s="1077"/>
      <c r="O62" s="1077"/>
      <c r="P62" s="1077"/>
      <c r="Q62" s="1077"/>
      <c r="R62" s="1553"/>
      <c r="S62" s="1077"/>
      <c r="T62" s="1077"/>
      <c r="U62" s="478"/>
      <c r="V62" s="1077"/>
      <c r="W62" s="1077"/>
      <c r="X62" s="1077"/>
      <c r="Y62" s="1077"/>
      <c r="Z62" s="1077"/>
      <c r="AA62" s="1549"/>
      <c r="AB62" s="500"/>
      <c r="AC62" s="500"/>
      <c r="AD62" s="500"/>
      <c r="AE62" s="500"/>
      <c r="AF62" s="1558">
        <v>11</v>
      </c>
    </row>
    <row r="63" spans="1:32" s="2212" customFormat="1" ht="11.5" customHeight="1">
      <c r="A63" s="909"/>
      <c r="B63" s="1553"/>
      <c r="C63" s="1553"/>
      <c r="D63" s="285"/>
      <c r="K63" s="1077"/>
      <c r="L63" s="1553"/>
      <c r="M63" s="1553"/>
      <c r="N63" s="1077"/>
      <c r="O63" s="1077"/>
      <c r="P63" s="1077"/>
      <c r="Q63" s="1077"/>
      <c r="R63" s="1553"/>
      <c r="S63" s="1077"/>
      <c r="T63" s="1077"/>
      <c r="U63" s="478"/>
      <c r="V63" s="1077"/>
      <c r="W63" s="1077"/>
      <c r="X63" s="1077"/>
      <c r="Y63" s="1077"/>
      <c r="Z63" s="1077"/>
      <c r="AA63" s="1549"/>
      <c r="AB63" s="500"/>
      <c r="AC63" s="500"/>
      <c r="AD63" s="500"/>
      <c r="AE63" s="500"/>
      <c r="AF63" s="1558">
        <v>11</v>
      </c>
    </row>
    <row r="64" spans="1:32" s="2212" customFormat="1" ht="11.5" customHeight="1">
      <c r="A64" s="909"/>
      <c r="B64" s="1553"/>
      <c r="C64" s="1553"/>
      <c r="D64" s="285"/>
      <c r="K64" s="1077"/>
      <c r="L64" s="1553"/>
      <c r="M64" s="1553"/>
      <c r="N64" s="1077"/>
      <c r="O64" s="1077"/>
      <c r="P64" s="1077"/>
      <c r="Q64" s="1077"/>
      <c r="R64" s="1553"/>
      <c r="S64" s="1077"/>
      <c r="T64" s="1077"/>
      <c r="U64" s="478"/>
      <c r="V64" s="1077"/>
      <c r="W64" s="1077"/>
      <c r="X64" s="1077"/>
      <c r="Y64" s="1077"/>
      <c r="Z64" s="1077"/>
      <c r="AA64" s="1549"/>
      <c r="AB64" s="500"/>
      <c r="AC64" s="500"/>
      <c r="AD64" s="500"/>
      <c r="AE64" s="500"/>
      <c r="AF64" s="1558">
        <v>11</v>
      </c>
    </row>
    <row r="65" spans="1:32" s="2212" customFormat="1" ht="11.5" customHeight="1">
      <c r="A65" s="909"/>
      <c r="B65" s="1553"/>
      <c r="C65" s="1553"/>
      <c r="D65" s="285"/>
      <c r="K65" s="1077"/>
      <c r="L65" s="1553"/>
      <c r="M65" s="1553"/>
      <c r="N65" s="1077"/>
      <c r="O65" s="1077"/>
      <c r="P65" s="1077"/>
      <c r="Q65" s="1077"/>
      <c r="R65" s="1553"/>
      <c r="S65" s="1077"/>
      <c r="T65" s="1077"/>
      <c r="U65" s="478"/>
      <c r="V65" s="1077"/>
      <c r="W65" s="1077"/>
      <c r="X65" s="1077"/>
      <c r="Y65" s="1077"/>
      <c r="Z65" s="1077"/>
      <c r="AA65" s="1549"/>
      <c r="AB65" s="500"/>
      <c r="AC65" s="500"/>
      <c r="AD65" s="500"/>
      <c r="AE65" s="500"/>
      <c r="AF65" s="1558">
        <v>11</v>
      </c>
    </row>
    <row r="66" spans="1:32" s="2212" customFormat="1" ht="11.5" customHeight="1">
      <c r="A66" s="909"/>
      <c r="B66" s="1553"/>
      <c r="C66" s="1553"/>
      <c r="D66" s="285"/>
      <c r="K66" s="1077"/>
      <c r="L66" s="1553"/>
      <c r="M66" s="1553"/>
      <c r="N66" s="1077"/>
      <c r="O66" s="1077"/>
      <c r="P66" s="1077"/>
      <c r="Q66" s="1077"/>
      <c r="R66" s="1553"/>
      <c r="S66" s="1077"/>
      <c r="T66" s="1077"/>
      <c r="U66" s="478"/>
      <c r="V66" s="1077"/>
      <c r="W66" s="1077"/>
      <c r="X66" s="1077"/>
      <c r="Y66" s="1077"/>
      <c r="Z66" s="1077"/>
      <c r="AA66" s="1549"/>
      <c r="AB66" s="500"/>
      <c r="AC66" s="500"/>
      <c r="AD66" s="500"/>
      <c r="AE66" s="500"/>
      <c r="AF66" s="1558">
        <v>11</v>
      </c>
    </row>
    <row r="67" spans="1:32" s="2212" customFormat="1" ht="11.5" customHeight="1">
      <c r="A67" s="909"/>
      <c r="B67" s="1553"/>
      <c r="C67" s="1553"/>
      <c r="D67" s="285"/>
      <c r="K67" s="1077"/>
      <c r="L67" s="1553"/>
      <c r="M67" s="1553"/>
      <c r="N67" s="1077"/>
      <c r="O67" s="1077"/>
      <c r="P67" s="1077"/>
      <c r="Q67" s="1077"/>
      <c r="R67" s="1553"/>
      <c r="S67" s="1077"/>
      <c r="T67" s="1077"/>
      <c r="U67" s="478"/>
      <c r="V67" s="1077"/>
      <c r="W67" s="1077"/>
      <c r="X67" s="1077"/>
      <c r="Y67" s="1077"/>
      <c r="Z67" s="1077"/>
      <c r="AA67" s="1549"/>
      <c r="AB67" s="500"/>
      <c r="AC67" s="500"/>
      <c r="AD67" s="500"/>
      <c r="AE67" s="500"/>
      <c r="AF67" s="1558">
        <v>11</v>
      </c>
    </row>
    <row r="68" spans="1:32" s="2212" customFormat="1" ht="11.5" customHeight="1">
      <c r="A68" s="909"/>
      <c r="B68" s="1553"/>
      <c r="C68" s="1553"/>
      <c r="D68" s="285"/>
      <c r="K68" s="1077"/>
      <c r="L68" s="1553"/>
      <c r="M68" s="1553"/>
      <c r="N68" s="1077"/>
      <c r="O68" s="1077"/>
      <c r="P68" s="1077"/>
      <c r="Q68" s="1077"/>
      <c r="R68" s="1553"/>
      <c r="S68" s="1077"/>
      <c r="T68" s="1077"/>
      <c r="U68" s="478"/>
      <c r="V68" s="1077"/>
      <c r="W68" s="1077"/>
      <c r="X68" s="1077"/>
      <c r="Y68" s="1077"/>
      <c r="Z68" s="1077"/>
      <c r="AA68" s="1549"/>
      <c r="AB68" s="500"/>
      <c r="AC68" s="500"/>
      <c r="AD68" s="500"/>
      <c r="AE68" s="500"/>
      <c r="AF68" s="1558">
        <v>11</v>
      </c>
    </row>
    <row r="69" spans="1:32" s="2212" customFormat="1" ht="11.5" customHeight="1">
      <c r="A69" s="909"/>
      <c r="B69" s="1553"/>
      <c r="C69" s="1553"/>
      <c r="D69" s="285"/>
      <c r="K69" s="1077"/>
      <c r="L69" s="1553"/>
      <c r="M69" s="1553"/>
      <c r="N69" s="1077"/>
      <c r="O69" s="1077"/>
      <c r="P69" s="1077"/>
      <c r="Q69" s="1077"/>
      <c r="R69" s="1553"/>
      <c r="S69" s="1077"/>
      <c r="T69" s="1077"/>
      <c r="U69" s="478"/>
      <c r="V69" s="1077"/>
      <c r="W69" s="1077"/>
      <c r="X69" s="1077"/>
      <c r="Y69" s="1077"/>
      <c r="Z69" s="1077"/>
      <c r="AA69" s="1549"/>
      <c r="AB69" s="500"/>
      <c r="AC69" s="500"/>
      <c r="AD69" s="500"/>
      <c r="AE69" s="500"/>
      <c r="AF69" s="1558">
        <v>11</v>
      </c>
    </row>
    <row r="70" spans="1:32" s="2212" customFormat="1" ht="11.5" customHeight="1">
      <c r="A70" s="909"/>
      <c r="B70" s="1553"/>
      <c r="C70" s="1553"/>
      <c r="D70" s="285"/>
      <c r="K70" s="1077"/>
      <c r="L70" s="1553"/>
      <c r="M70" s="1553"/>
      <c r="N70" s="1077"/>
      <c r="O70" s="1077"/>
      <c r="P70" s="1077"/>
      <c r="Q70" s="1077"/>
      <c r="R70" s="1553"/>
      <c r="S70" s="1077"/>
      <c r="T70" s="1077"/>
      <c r="U70" s="478"/>
      <c r="V70" s="1077"/>
      <c r="W70" s="1077"/>
      <c r="X70" s="1077"/>
      <c r="Y70" s="1077"/>
      <c r="Z70" s="1077"/>
      <c r="AA70" s="1549"/>
      <c r="AB70" s="500"/>
      <c r="AC70" s="500"/>
      <c r="AD70" s="500"/>
      <c r="AE70" s="500"/>
      <c r="AF70" s="1558">
        <v>11</v>
      </c>
    </row>
    <row r="71" spans="1:32" s="2212" customFormat="1" ht="11.5" customHeight="1">
      <c r="A71" s="909"/>
      <c r="B71" s="1553"/>
      <c r="C71" s="1553"/>
      <c r="D71" s="285"/>
      <c r="K71" s="1077"/>
      <c r="L71" s="1553"/>
      <c r="M71" s="1553"/>
      <c r="N71" s="1077"/>
      <c r="O71" s="1077"/>
      <c r="P71" s="1077"/>
      <c r="Q71" s="1077"/>
      <c r="R71" s="1553"/>
      <c r="S71" s="1077"/>
      <c r="T71" s="1077"/>
      <c r="U71" s="478"/>
      <c r="V71" s="1077"/>
      <c r="W71" s="1077"/>
      <c r="X71" s="1077"/>
      <c r="Y71" s="1077"/>
      <c r="Z71" s="1077"/>
      <c r="AA71" s="1549"/>
      <c r="AB71" s="500"/>
      <c r="AC71" s="500"/>
      <c r="AD71" s="500"/>
      <c r="AE71" s="500"/>
      <c r="AF71" s="1558">
        <v>11</v>
      </c>
    </row>
    <row r="72" spans="1:32" s="2212" customFormat="1" ht="11.5" customHeight="1">
      <c r="A72" s="909"/>
      <c r="B72" s="1553"/>
      <c r="C72" s="1553"/>
      <c r="D72" s="285"/>
      <c r="K72" s="1077"/>
      <c r="L72" s="1553"/>
      <c r="M72" s="1553"/>
      <c r="N72" s="1077"/>
      <c r="O72" s="1077"/>
      <c r="P72" s="1077"/>
      <c r="Q72" s="1077"/>
      <c r="R72" s="1553"/>
      <c r="S72" s="1077"/>
      <c r="T72" s="1077"/>
      <c r="U72" s="478"/>
      <c r="V72" s="1077"/>
      <c r="W72" s="1077"/>
      <c r="X72" s="1077"/>
      <c r="Y72" s="1077"/>
      <c r="Z72" s="1077"/>
      <c r="AA72" s="1549"/>
      <c r="AB72" s="500"/>
      <c r="AC72" s="500"/>
      <c r="AD72" s="500"/>
      <c r="AE72" s="500"/>
      <c r="AF72" s="1558">
        <v>11</v>
      </c>
    </row>
    <row r="73" spans="1:32" s="2212" customFormat="1" ht="11.5" customHeight="1">
      <c r="A73" s="909"/>
      <c r="B73" s="1553"/>
      <c r="C73" s="1553"/>
      <c r="D73" s="285"/>
      <c r="K73" s="1077"/>
      <c r="L73" s="1553"/>
      <c r="M73" s="1553"/>
      <c r="N73" s="1077"/>
      <c r="O73" s="1077"/>
      <c r="P73" s="1077"/>
      <c r="Q73" s="1077"/>
      <c r="R73" s="1553"/>
      <c r="S73" s="1077"/>
      <c r="T73" s="1077"/>
      <c r="U73" s="478"/>
      <c r="V73" s="1077"/>
      <c r="W73" s="1077"/>
      <c r="X73" s="1077"/>
      <c r="Y73" s="1077"/>
      <c r="Z73" s="1077"/>
      <c r="AA73" s="1549"/>
      <c r="AB73" s="500"/>
      <c r="AC73" s="500"/>
      <c r="AD73" s="500"/>
      <c r="AE73" s="500"/>
      <c r="AF73" s="1558">
        <v>11</v>
      </c>
    </row>
    <row r="74" spans="1:32" s="2212" customFormat="1" ht="11.5" customHeight="1">
      <c r="A74" s="909"/>
      <c r="B74" s="1553"/>
      <c r="C74" s="1553"/>
      <c r="D74" s="285"/>
      <c r="K74" s="1077"/>
      <c r="L74" s="1553"/>
      <c r="M74" s="1553"/>
      <c r="N74" s="1077"/>
      <c r="O74" s="1077"/>
      <c r="P74" s="1077"/>
      <c r="Q74" s="1077"/>
      <c r="R74" s="1553"/>
      <c r="S74" s="1077"/>
      <c r="T74" s="1077"/>
      <c r="U74" s="478"/>
      <c r="V74" s="1077"/>
      <c r="W74" s="1077"/>
      <c r="X74" s="1077"/>
      <c r="Y74" s="1077"/>
      <c r="Z74" s="1077"/>
      <c r="AA74" s="1549"/>
      <c r="AB74" s="500"/>
      <c r="AC74" s="500"/>
      <c r="AD74" s="500"/>
      <c r="AE74" s="500"/>
      <c r="AF74" s="1558">
        <v>11</v>
      </c>
    </row>
    <row r="75" spans="1:32" s="2212" customFormat="1" ht="11.5" customHeight="1">
      <c r="A75" s="909"/>
      <c r="B75" s="1553"/>
      <c r="C75" s="1553"/>
      <c r="D75" s="285"/>
      <c r="K75" s="1077"/>
      <c r="L75" s="1553"/>
      <c r="M75" s="1553"/>
      <c r="N75" s="1077"/>
      <c r="O75" s="1077"/>
      <c r="P75" s="1077"/>
      <c r="Q75" s="1077"/>
      <c r="R75" s="1553"/>
      <c r="S75" s="1077"/>
      <c r="T75" s="1077"/>
      <c r="U75" s="478"/>
      <c r="V75" s="1077"/>
      <c r="W75" s="1077"/>
      <c r="X75" s="1077"/>
      <c r="Y75" s="1077"/>
      <c r="Z75" s="1077"/>
      <c r="AA75" s="1549"/>
      <c r="AB75" s="500"/>
      <c r="AC75" s="500"/>
      <c r="AD75" s="500"/>
      <c r="AE75" s="500"/>
      <c r="AF75" s="1558">
        <v>11</v>
      </c>
    </row>
    <row r="76" spans="1:32" s="2212" customFormat="1" ht="11.5" customHeight="1">
      <c r="A76" s="909"/>
      <c r="B76" s="1553"/>
      <c r="C76" s="1553"/>
      <c r="D76" s="285"/>
      <c r="K76" s="1077"/>
      <c r="L76" s="1553"/>
      <c r="M76" s="1553"/>
      <c r="N76" s="1077"/>
      <c r="O76" s="1077"/>
      <c r="P76" s="1077"/>
      <c r="Q76" s="1077"/>
      <c r="R76" s="1553"/>
      <c r="S76" s="1077"/>
      <c r="T76" s="1077"/>
      <c r="U76" s="478"/>
      <c r="V76" s="1077"/>
      <c r="W76" s="1077"/>
      <c r="X76" s="1077"/>
      <c r="Y76" s="1077"/>
      <c r="Z76" s="1077"/>
      <c r="AA76" s="1549"/>
      <c r="AB76" s="500"/>
      <c r="AC76" s="500"/>
      <c r="AD76" s="500"/>
      <c r="AE76" s="500"/>
      <c r="AF76" s="1558">
        <v>11</v>
      </c>
    </row>
    <row r="77" spans="1:32" s="2212" customFormat="1" ht="11.5" customHeight="1">
      <c r="A77" s="909"/>
      <c r="B77" s="1553"/>
      <c r="C77" s="1553"/>
      <c r="D77" s="285"/>
      <c r="K77" s="1077"/>
      <c r="L77" s="1553"/>
      <c r="M77" s="1553"/>
      <c r="N77" s="1077"/>
      <c r="O77" s="1077"/>
      <c r="P77" s="1077"/>
      <c r="Q77" s="1077"/>
      <c r="R77" s="1553"/>
      <c r="S77" s="1077"/>
      <c r="T77" s="1077"/>
      <c r="U77" s="478"/>
      <c r="V77" s="1077"/>
      <c r="W77" s="1077"/>
      <c r="X77" s="1077"/>
      <c r="Y77" s="1077"/>
      <c r="Z77" s="1077"/>
      <c r="AA77" s="1549"/>
      <c r="AB77" s="500"/>
      <c r="AC77" s="500"/>
      <c r="AD77" s="500"/>
      <c r="AE77" s="500"/>
      <c r="AF77" s="1558">
        <v>11</v>
      </c>
    </row>
    <row r="78" spans="1:32" s="2212" customFormat="1" ht="11.5" customHeight="1">
      <c r="A78" s="909"/>
      <c r="B78" s="1553"/>
      <c r="C78" s="1553"/>
      <c r="D78" s="285"/>
      <c r="K78" s="1077"/>
      <c r="L78" s="1553"/>
      <c r="M78" s="1553"/>
      <c r="N78" s="1077"/>
      <c r="O78" s="1077"/>
      <c r="P78" s="1077"/>
      <c r="Q78" s="1077"/>
      <c r="R78" s="1553"/>
      <c r="S78" s="1077"/>
      <c r="T78" s="1077"/>
      <c r="U78" s="478"/>
      <c r="V78" s="1077"/>
      <c r="W78" s="1077"/>
      <c r="X78" s="1077"/>
      <c r="Y78" s="1077"/>
      <c r="Z78" s="1077"/>
      <c r="AA78" s="1549"/>
      <c r="AB78" s="500"/>
      <c r="AC78" s="500"/>
      <c r="AD78" s="500"/>
      <c r="AE78" s="500"/>
      <c r="AF78" s="1558">
        <v>11</v>
      </c>
    </row>
    <row r="79" spans="1:32" s="2212" customFormat="1" ht="11.5" customHeight="1">
      <c r="A79" s="909"/>
      <c r="B79" s="1553"/>
      <c r="C79" s="1553"/>
      <c r="D79" s="285"/>
      <c r="K79" s="1077"/>
      <c r="L79" s="1553"/>
      <c r="M79" s="1553"/>
      <c r="N79" s="1077"/>
      <c r="O79" s="1077"/>
      <c r="P79" s="1077"/>
      <c r="Q79" s="1077"/>
      <c r="R79" s="1553"/>
      <c r="S79" s="1077"/>
      <c r="T79" s="1077"/>
      <c r="U79" s="478"/>
      <c r="V79" s="1077"/>
      <c r="W79" s="1077"/>
      <c r="X79" s="1077"/>
      <c r="Y79" s="1077"/>
      <c r="Z79" s="1077"/>
      <c r="AA79" s="1549"/>
      <c r="AB79" s="500"/>
      <c r="AC79" s="500"/>
      <c r="AD79" s="500"/>
      <c r="AE79" s="500"/>
      <c r="AF79" s="1558">
        <v>11</v>
      </c>
    </row>
    <row r="80" spans="1:32" s="2212" customFormat="1" ht="11.5" customHeight="1">
      <c r="A80" s="909"/>
      <c r="B80" s="1553"/>
      <c r="C80" s="1553"/>
      <c r="D80" s="285"/>
      <c r="K80" s="1077"/>
      <c r="L80" s="1553"/>
      <c r="M80" s="1553"/>
      <c r="N80" s="1077"/>
      <c r="O80" s="1077"/>
      <c r="P80" s="1077"/>
      <c r="Q80" s="1077"/>
      <c r="R80" s="1553"/>
      <c r="S80" s="1077"/>
      <c r="T80" s="1077"/>
      <c r="U80" s="478"/>
      <c r="V80" s="1077"/>
      <c r="W80" s="1077"/>
      <c r="X80" s="1077"/>
      <c r="Y80" s="1077"/>
      <c r="Z80" s="1077"/>
      <c r="AA80" s="1549"/>
      <c r="AB80" s="500"/>
      <c r="AC80" s="500"/>
      <c r="AD80" s="500"/>
      <c r="AE80" s="500"/>
      <c r="AF80" s="1558">
        <v>11</v>
      </c>
    </row>
    <row r="81" spans="1:32" s="2212" customFormat="1" ht="11.5" customHeight="1">
      <c r="A81" s="909"/>
      <c r="B81" s="1553"/>
      <c r="C81" s="1553"/>
      <c r="D81" s="285"/>
      <c r="K81" s="1077"/>
      <c r="L81" s="1553"/>
      <c r="M81" s="1553"/>
      <c r="N81" s="1077"/>
      <c r="O81" s="1077"/>
      <c r="P81" s="1077"/>
      <c r="Q81" s="1077"/>
      <c r="R81" s="1553"/>
      <c r="S81" s="1077"/>
      <c r="T81" s="1077"/>
      <c r="U81" s="478"/>
      <c r="V81" s="1077"/>
      <c r="W81" s="1077"/>
      <c r="X81" s="1077"/>
      <c r="Y81" s="1077"/>
      <c r="Z81" s="1077"/>
      <c r="AA81" s="1549"/>
      <c r="AB81" s="500"/>
      <c r="AC81" s="500"/>
      <c r="AD81" s="500"/>
      <c r="AE81" s="500"/>
      <c r="AF81" s="1558">
        <v>11</v>
      </c>
    </row>
    <row r="82" spans="1:32" s="2212" customFormat="1" ht="11.5" customHeight="1">
      <c r="A82" s="909"/>
      <c r="B82" s="1553"/>
      <c r="C82" s="1553"/>
      <c r="D82" s="285"/>
      <c r="K82" s="1077"/>
      <c r="L82" s="1553"/>
      <c r="M82" s="1553"/>
      <c r="N82" s="1077"/>
      <c r="O82" s="1077"/>
      <c r="P82" s="1077"/>
      <c r="Q82" s="1077"/>
      <c r="R82" s="1553"/>
      <c r="S82" s="1077"/>
      <c r="T82" s="1077"/>
      <c r="U82" s="478"/>
      <c r="V82" s="1077"/>
      <c r="W82" s="1077"/>
      <c r="X82" s="1077"/>
      <c r="Y82" s="1077"/>
      <c r="Z82" s="1077"/>
      <c r="AA82" s="1549"/>
      <c r="AB82" s="500"/>
      <c r="AC82" s="500"/>
      <c r="AD82" s="500"/>
      <c r="AE82" s="500"/>
      <c r="AF82" s="1558">
        <v>11</v>
      </c>
    </row>
    <row r="83" spans="1:32" s="2212" customFormat="1" ht="11.5" customHeight="1">
      <c r="A83" s="909"/>
      <c r="B83" s="1553"/>
      <c r="C83" s="1553"/>
      <c r="D83" s="285"/>
      <c r="K83" s="1077"/>
      <c r="L83" s="1553"/>
      <c r="M83" s="1553"/>
      <c r="N83" s="1077"/>
      <c r="O83" s="1077"/>
      <c r="P83" s="1077"/>
      <c r="Q83" s="1077"/>
      <c r="R83" s="1553"/>
      <c r="S83" s="1077"/>
      <c r="T83" s="1077"/>
      <c r="U83" s="478"/>
      <c r="V83" s="1077"/>
      <c r="W83" s="1077"/>
      <c r="X83" s="1077"/>
      <c r="Y83" s="1077"/>
      <c r="Z83" s="1077"/>
      <c r="AA83" s="1549"/>
      <c r="AB83" s="500"/>
      <c r="AC83" s="500"/>
      <c r="AD83" s="500"/>
      <c r="AE83" s="500"/>
      <c r="AF83" s="1558">
        <v>11</v>
      </c>
    </row>
    <row r="84" spans="1:32" s="2212" customFormat="1" ht="11.5" customHeight="1">
      <c r="A84" s="909"/>
      <c r="B84" s="1553"/>
      <c r="C84" s="1553"/>
      <c r="D84" s="285"/>
      <c r="K84" s="1077"/>
      <c r="L84" s="1553"/>
      <c r="M84" s="1553"/>
      <c r="N84" s="1077"/>
      <c r="O84" s="1077"/>
      <c r="P84" s="1077"/>
      <c r="Q84" s="1077"/>
      <c r="R84" s="1553"/>
      <c r="S84" s="1077"/>
      <c r="T84" s="1077"/>
      <c r="U84" s="478"/>
      <c r="V84" s="1077"/>
      <c r="W84" s="1077"/>
      <c r="X84" s="1077"/>
      <c r="Y84" s="1077"/>
      <c r="Z84" s="1077"/>
      <c r="AA84" s="1549"/>
      <c r="AB84" s="500"/>
      <c r="AC84" s="500"/>
      <c r="AD84" s="500"/>
      <c r="AE84" s="500"/>
      <c r="AF84" s="1558">
        <v>11</v>
      </c>
    </row>
    <row r="85" spans="1:32" s="2212" customFormat="1" ht="11.5" customHeight="1">
      <c r="A85" s="909"/>
      <c r="B85" s="1553"/>
      <c r="C85" s="1553"/>
      <c r="D85" s="285"/>
      <c r="K85" s="1077"/>
      <c r="L85" s="1553"/>
      <c r="M85" s="1553"/>
      <c r="N85" s="1077"/>
      <c r="O85" s="1077"/>
      <c r="P85" s="1077"/>
      <c r="Q85" s="1077"/>
      <c r="R85" s="1553"/>
      <c r="S85" s="1077"/>
      <c r="T85" s="1077"/>
      <c r="U85" s="478"/>
      <c r="V85" s="1077"/>
      <c r="W85" s="1077"/>
      <c r="X85" s="1077"/>
      <c r="Y85" s="1077"/>
      <c r="Z85" s="1077"/>
      <c r="AA85" s="1549"/>
      <c r="AB85" s="500"/>
      <c r="AC85" s="500"/>
      <c r="AD85" s="500"/>
      <c r="AE85" s="500"/>
      <c r="AF85" s="1558">
        <v>11</v>
      </c>
    </row>
    <row r="86" spans="1:32" s="2212" customFormat="1" ht="11.5" customHeight="1">
      <c r="A86" s="909"/>
      <c r="B86" s="1553"/>
      <c r="C86" s="1553"/>
      <c r="D86" s="285"/>
      <c r="K86" s="1077"/>
      <c r="L86" s="1553"/>
      <c r="M86" s="1553"/>
      <c r="N86" s="1077"/>
      <c r="O86" s="1077"/>
      <c r="P86" s="1077"/>
      <c r="Q86" s="1077"/>
      <c r="R86" s="1553"/>
      <c r="S86" s="1077"/>
      <c r="T86" s="1077"/>
      <c r="U86" s="478"/>
      <c r="V86" s="1077"/>
      <c r="W86" s="1077"/>
      <c r="X86" s="1077"/>
      <c r="Y86" s="1077"/>
      <c r="Z86" s="1077"/>
      <c r="AA86" s="1549"/>
      <c r="AB86" s="500"/>
      <c r="AC86" s="500"/>
      <c r="AD86" s="500"/>
      <c r="AE86" s="500"/>
      <c r="AF86" s="1558">
        <v>11</v>
      </c>
    </row>
    <row r="87" spans="1:32" s="2212" customFormat="1" ht="11.5" customHeight="1">
      <c r="A87" s="909"/>
      <c r="B87" s="1553"/>
      <c r="C87" s="1553"/>
      <c r="D87" s="285"/>
      <c r="K87" s="1077"/>
      <c r="L87" s="1553"/>
      <c r="M87" s="1553"/>
      <c r="N87" s="1077"/>
      <c r="O87" s="1077"/>
      <c r="P87" s="1077"/>
      <c r="Q87" s="1077"/>
      <c r="R87" s="1553"/>
      <c r="S87" s="1077"/>
      <c r="T87" s="1077"/>
      <c r="U87" s="478"/>
      <c r="V87" s="1077"/>
      <c r="W87" s="1077"/>
      <c r="X87" s="1077"/>
      <c r="Y87" s="1077"/>
      <c r="Z87" s="1077"/>
      <c r="AA87" s="1549"/>
      <c r="AB87" s="500"/>
      <c r="AC87" s="500"/>
      <c r="AD87" s="500"/>
      <c r="AE87" s="500"/>
      <c r="AF87" s="1558">
        <v>11</v>
      </c>
    </row>
    <row r="88" spans="1:32" s="2212" customFormat="1" ht="11.5" customHeight="1">
      <c r="A88" s="909"/>
      <c r="B88" s="1553"/>
      <c r="C88" s="1553"/>
      <c r="D88" s="285"/>
      <c r="K88" s="1077"/>
      <c r="L88" s="1553"/>
      <c r="M88" s="1553"/>
      <c r="N88" s="1077"/>
      <c r="O88" s="1077"/>
      <c r="P88" s="1077"/>
      <c r="Q88" s="1077"/>
      <c r="R88" s="1553"/>
      <c r="S88" s="1077"/>
      <c r="T88" s="1077"/>
      <c r="U88" s="478"/>
      <c r="V88" s="1077"/>
      <c r="W88" s="1077"/>
      <c r="X88" s="1077"/>
      <c r="Y88" s="1077"/>
      <c r="Z88" s="1077"/>
      <c r="AA88" s="1549"/>
      <c r="AB88" s="500"/>
      <c r="AC88" s="500"/>
      <c r="AD88" s="500"/>
      <c r="AE88" s="500"/>
      <c r="AF88" s="1558">
        <v>11</v>
      </c>
    </row>
    <row r="89" spans="1:32" s="2212" customFormat="1" ht="11.5" customHeight="1">
      <c r="A89" s="909"/>
      <c r="B89" s="1553"/>
      <c r="C89" s="1553"/>
      <c r="D89" s="285"/>
      <c r="K89" s="1077"/>
      <c r="L89" s="1553"/>
      <c r="M89" s="1553"/>
      <c r="N89" s="1077"/>
      <c r="O89" s="1077"/>
      <c r="P89" s="1077"/>
      <c r="Q89" s="1077"/>
      <c r="R89" s="1553"/>
      <c r="S89" s="1077"/>
      <c r="T89" s="1077"/>
      <c r="U89" s="478"/>
      <c r="V89" s="1077"/>
      <c r="W89" s="1077"/>
      <c r="X89" s="1077"/>
      <c r="Y89" s="1077"/>
      <c r="Z89" s="1077"/>
      <c r="AA89" s="1549"/>
      <c r="AB89" s="500"/>
      <c r="AC89" s="500"/>
      <c r="AD89" s="500"/>
      <c r="AE89" s="500"/>
      <c r="AF89" s="1558">
        <v>11</v>
      </c>
    </row>
    <row r="90" spans="1:32" s="2212" customFormat="1" ht="11.5" customHeight="1">
      <c r="A90" s="909"/>
      <c r="B90" s="1553"/>
      <c r="C90" s="1553"/>
      <c r="D90" s="285"/>
      <c r="K90" s="1077"/>
      <c r="L90" s="1553"/>
      <c r="M90" s="1553"/>
      <c r="N90" s="1077"/>
      <c r="O90" s="1077"/>
      <c r="P90" s="1077"/>
      <c r="Q90" s="1077"/>
      <c r="R90" s="1553"/>
      <c r="S90" s="1077"/>
      <c r="T90" s="1077"/>
      <c r="U90" s="478"/>
      <c r="V90" s="1077"/>
      <c r="W90" s="1077"/>
      <c r="X90" s="1077"/>
      <c r="Y90" s="1077"/>
      <c r="Z90" s="1077"/>
      <c r="AA90" s="1549"/>
      <c r="AB90" s="500"/>
      <c r="AC90" s="500"/>
      <c r="AD90" s="500"/>
      <c r="AE90" s="500"/>
      <c r="AF90" s="1558">
        <v>11</v>
      </c>
    </row>
    <row r="91" spans="1:32" s="2212" customFormat="1" ht="11.5" customHeight="1">
      <c r="A91" s="909"/>
      <c r="B91" s="1553"/>
      <c r="C91" s="1553"/>
      <c r="D91" s="285"/>
      <c r="K91" s="1077"/>
      <c r="L91" s="1553"/>
      <c r="M91" s="1553"/>
      <c r="N91" s="1077"/>
      <c r="O91" s="1077"/>
      <c r="P91" s="1077"/>
      <c r="Q91" s="1077"/>
      <c r="R91" s="1553"/>
      <c r="S91" s="1077"/>
      <c r="T91" s="1077"/>
      <c r="U91" s="478"/>
      <c r="V91" s="1077"/>
      <c r="W91" s="1077"/>
      <c r="X91" s="1077"/>
      <c r="Y91" s="1077"/>
      <c r="Z91" s="1077"/>
      <c r="AA91" s="1549"/>
      <c r="AB91" s="500"/>
      <c r="AC91" s="500"/>
      <c r="AD91" s="500"/>
      <c r="AE91" s="500"/>
      <c r="AF91" s="1558">
        <v>11</v>
      </c>
    </row>
    <row r="92" spans="1:32" s="2212" customFormat="1" ht="11.5" customHeight="1">
      <c r="A92" s="909"/>
      <c r="B92" s="1553"/>
      <c r="C92" s="1553"/>
      <c r="D92" s="285"/>
      <c r="K92" s="1077"/>
      <c r="L92" s="1553"/>
      <c r="M92" s="1553"/>
      <c r="N92" s="1077"/>
      <c r="O92" s="1077"/>
      <c r="P92" s="1077"/>
      <c r="Q92" s="1077"/>
      <c r="R92" s="1553"/>
      <c r="S92" s="1077"/>
      <c r="T92" s="1077"/>
      <c r="U92" s="478"/>
      <c r="V92" s="1077"/>
      <c r="W92" s="1077"/>
      <c r="X92" s="1077"/>
      <c r="Y92" s="1077"/>
      <c r="Z92" s="1077"/>
      <c r="AA92" s="1549"/>
      <c r="AB92" s="500"/>
      <c r="AC92" s="500"/>
      <c r="AD92" s="500"/>
      <c r="AE92" s="500"/>
      <c r="AF92" s="1558">
        <v>11</v>
      </c>
    </row>
    <row r="93" spans="1:32" s="2212" customFormat="1" ht="11.5" customHeight="1">
      <c r="A93" s="909"/>
      <c r="B93" s="1553"/>
      <c r="C93" s="1553"/>
      <c r="D93" s="285"/>
      <c r="K93" s="1077"/>
      <c r="L93" s="1553"/>
      <c r="M93" s="1553"/>
      <c r="N93" s="1077"/>
      <c r="O93" s="1077"/>
      <c r="P93" s="1077"/>
      <c r="Q93" s="1077"/>
      <c r="R93" s="1553"/>
      <c r="S93" s="1077"/>
      <c r="T93" s="1077"/>
      <c r="U93" s="478"/>
      <c r="V93" s="1077"/>
      <c r="W93" s="1077"/>
      <c r="X93" s="1077"/>
      <c r="Y93" s="1077"/>
      <c r="Z93" s="1077"/>
      <c r="AA93" s="1549"/>
      <c r="AB93" s="500"/>
      <c r="AC93" s="500"/>
      <c r="AD93" s="500"/>
      <c r="AE93" s="500"/>
      <c r="AF93" s="1558">
        <v>11</v>
      </c>
    </row>
    <row r="94" spans="1:32" s="2212" customFormat="1" ht="11.5" customHeight="1">
      <c r="A94" s="909"/>
      <c r="B94" s="1553"/>
      <c r="C94" s="1553"/>
      <c r="D94" s="285"/>
      <c r="K94" s="1077"/>
      <c r="L94" s="1553"/>
      <c r="M94" s="1553"/>
      <c r="N94" s="1077"/>
      <c r="O94" s="1077"/>
      <c r="P94" s="1077"/>
      <c r="Q94" s="1077"/>
      <c r="R94" s="1553"/>
      <c r="S94" s="1077"/>
      <c r="T94" s="1077"/>
      <c r="U94" s="478"/>
      <c r="V94" s="1077"/>
      <c r="W94" s="1077"/>
      <c r="X94" s="1077"/>
      <c r="Y94" s="1077"/>
      <c r="Z94" s="1077"/>
      <c r="AA94" s="1549"/>
      <c r="AB94" s="500"/>
      <c r="AC94" s="500"/>
      <c r="AD94" s="500"/>
      <c r="AE94" s="500"/>
      <c r="AF94" s="1558">
        <v>11</v>
      </c>
    </row>
    <row r="95" spans="1:32" s="2212" customFormat="1" ht="11.5" customHeight="1">
      <c r="A95" s="909"/>
      <c r="B95" s="1553"/>
      <c r="C95" s="1553"/>
      <c r="D95" s="285"/>
      <c r="K95" s="1077"/>
      <c r="L95" s="1553"/>
      <c r="M95" s="1553"/>
      <c r="N95" s="1077"/>
      <c r="O95" s="1077"/>
      <c r="P95" s="1077"/>
      <c r="Q95" s="1077"/>
      <c r="R95" s="1553"/>
      <c r="S95" s="1077"/>
      <c r="T95" s="1077"/>
      <c r="U95" s="478"/>
      <c r="V95" s="1077"/>
      <c r="W95" s="1077"/>
      <c r="X95" s="1077"/>
      <c r="Y95" s="1077"/>
      <c r="Z95" s="1077"/>
      <c r="AA95" s="1549"/>
      <c r="AB95" s="500"/>
      <c r="AC95" s="500"/>
      <c r="AD95" s="500"/>
      <c r="AE95" s="500"/>
      <c r="AF95" s="1558">
        <v>11</v>
      </c>
    </row>
    <row r="96" spans="1:32" s="2212" customFormat="1" ht="11.5" customHeight="1">
      <c r="A96" s="909"/>
      <c r="B96" s="1553"/>
      <c r="C96" s="1553"/>
      <c r="D96" s="285"/>
      <c r="K96" s="1077"/>
      <c r="L96" s="1553"/>
      <c r="M96" s="1553"/>
      <c r="N96" s="1077"/>
      <c r="O96" s="1077"/>
      <c r="P96" s="1077"/>
      <c r="Q96" s="1077"/>
      <c r="R96" s="1553"/>
      <c r="S96" s="1077"/>
      <c r="T96" s="1077"/>
      <c r="U96" s="478"/>
      <c r="V96" s="1077"/>
      <c r="W96" s="1077"/>
      <c r="X96" s="1077"/>
      <c r="Y96" s="1077"/>
      <c r="Z96" s="1077"/>
      <c r="AA96" s="1549"/>
      <c r="AB96" s="500"/>
      <c r="AC96" s="500"/>
      <c r="AD96" s="500"/>
      <c r="AE96" s="500"/>
      <c r="AF96" s="1558">
        <v>11</v>
      </c>
    </row>
    <row r="97" spans="1:32" s="2212" customFormat="1" ht="11.5" customHeight="1">
      <c r="A97" s="909"/>
      <c r="B97" s="1553"/>
      <c r="C97" s="1553"/>
      <c r="D97" s="285"/>
      <c r="K97" s="1077"/>
      <c r="L97" s="1553"/>
      <c r="M97" s="1553"/>
      <c r="N97" s="1077"/>
      <c r="O97" s="1077"/>
      <c r="P97" s="1077"/>
      <c r="Q97" s="1077"/>
      <c r="R97" s="1553"/>
      <c r="S97" s="1077"/>
      <c r="T97" s="1077"/>
      <c r="U97" s="478"/>
      <c r="V97" s="1077"/>
      <c r="W97" s="1077"/>
      <c r="X97" s="1077"/>
      <c r="Y97" s="1077"/>
      <c r="Z97" s="1077"/>
      <c r="AA97" s="1549"/>
      <c r="AB97" s="500"/>
      <c r="AC97" s="500"/>
      <c r="AD97" s="500"/>
      <c r="AE97" s="500"/>
      <c r="AF97" s="1558">
        <v>11</v>
      </c>
    </row>
    <row r="98" spans="1:32" s="2212" customFormat="1" ht="11.5" customHeight="1">
      <c r="A98" s="909"/>
      <c r="B98" s="1553"/>
      <c r="C98" s="1553"/>
      <c r="D98" s="285"/>
      <c r="K98" s="1077"/>
      <c r="L98" s="1553"/>
      <c r="M98" s="1553"/>
      <c r="N98" s="1077"/>
      <c r="O98" s="1077"/>
      <c r="P98" s="1077"/>
      <c r="Q98" s="1077"/>
      <c r="R98" s="1553"/>
      <c r="S98" s="1077"/>
      <c r="T98" s="1077"/>
      <c r="U98" s="478"/>
      <c r="V98" s="1077"/>
      <c r="W98" s="1077"/>
      <c r="X98" s="1077"/>
      <c r="Y98" s="1077"/>
      <c r="Z98" s="1077"/>
      <c r="AA98" s="1549"/>
      <c r="AB98" s="500"/>
      <c r="AC98" s="500"/>
      <c r="AD98" s="500"/>
      <c r="AE98" s="500"/>
      <c r="AF98" s="1558">
        <v>11</v>
      </c>
    </row>
    <row r="99" spans="1:32" s="2212" customFormat="1" ht="11.5" customHeight="1">
      <c r="A99" s="909"/>
      <c r="B99" s="1553"/>
      <c r="C99" s="1553"/>
      <c r="D99" s="285"/>
      <c r="K99" s="1077"/>
      <c r="L99" s="1553"/>
      <c r="M99" s="1553"/>
      <c r="N99" s="1077"/>
      <c r="O99" s="1077"/>
      <c r="P99" s="1077"/>
      <c r="Q99" s="1077"/>
      <c r="R99" s="1553"/>
      <c r="S99" s="1077"/>
      <c r="T99" s="1077"/>
      <c r="U99" s="478"/>
      <c r="V99" s="1077"/>
      <c r="W99" s="1077"/>
      <c r="X99" s="1077"/>
      <c r="Y99" s="1077"/>
      <c r="Z99" s="1077"/>
      <c r="AA99" s="1549"/>
      <c r="AB99" s="500"/>
      <c r="AC99" s="500"/>
      <c r="AD99" s="500"/>
      <c r="AE99" s="500"/>
      <c r="AF99" s="1558">
        <v>11</v>
      </c>
    </row>
    <row r="100" spans="1:32" s="2212" customFormat="1" ht="11.5" customHeight="1">
      <c r="A100" s="909"/>
      <c r="B100" s="1553"/>
      <c r="C100" s="1553"/>
      <c r="D100" s="285"/>
      <c r="K100" s="1077"/>
      <c r="L100" s="1553"/>
      <c r="M100" s="1553"/>
      <c r="N100" s="1077"/>
      <c r="O100" s="1077"/>
      <c r="P100" s="1077"/>
      <c r="Q100" s="1077"/>
      <c r="R100" s="1553"/>
      <c r="S100" s="1077"/>
      <c r="T100" s="1077"/>
      <c r="U100" s="478"/>
      <c r="V100" s="1077"/>
      <c r="W100" s="1077"/>
      <c r="X100" s="1077"/>
      <c r="Y100" s="1077"/>
      <c r="Z100" s="1077"/>
      <c r="AA100" s="1549"/>
      <c r="AB100" s="500"/>
      <c r="AC100" s="500"/>
      <c r="AD100" s="500"/>
      <c r="AE100" s="500"/>
      <c r="AF100" s="1558">
        <v>11</v>
      </c>
    </row>
    <row r="101" spans="1:32" s="2212" customFormat="1" ht="11.5" customHeight="1">
      <c r="A101" s="909"/>
      <c r="B101" s="1553"/>
      <c r="C101" s="1553"/>
      <c r="D101" s="285"/>
      <c r="K101" s="1077"/>
      <c r="L101" s="1553"/>
      <c r="M101" s="1553"/>
      <c r="N101" s="1077"/>
      <c r="O101" s="1077"/>
      <c r="P101" s="1077"/>
      <c r="Q101" s="1077"/>
      <c r="R101" s="1553"/>
      <c r="S101" s="1077"/>
      <c r="T101" s="1077"/>
      <c r="U101" s="478"/>
      <c r="V101" s="1077"/>
      <c r="W101" s="1077"/>
      <c r="X101" s="1077"/>
      <c r="Y101" s="1077"/>
      <c r="Z101" s="1077"/>
      <c r="AA101" s="1549"/>
      <c r="AB101" s="500"/>
      <c r="AC101" s="500"/>
      <c r="AD101" s="500"/>
      <c r="AE101" s="500"/>
      <c r="AF101" s="1558">
        <v>11</v>
      </c>
    </row>
    <row r="102" spans="1:32" s="2212" customFormat="1" ht="11.5" customHeight="1">
      <c r="A102" s="909"/>
      <c r="B102" s="1553"/>
      <c r="C102" s="1553"/>
      <c r="D102" s="285"/>
      <c r="K102" s="1077"/>
      <c r="L102" s="1553"/>
      <c r="M102" s="1553"/>
      <c r="N102" s="1077"/>
      <c r="O102" s="1077"/>
      <c r="P102" s="1077"/>
      <c r="Q102" s="1077"/>
      <c r="R102" s="1553"/>
      <c r="S102" s="1077"/>
      <c r="T102" s="1077"/>
      <c r="U102" s="478"/>
      <c r="V102" s="1077"/>
      <c r="W102" s="1077"/>
      <c r="X102" s="1077"/>
      <c r="Y102" s="1077"/>
      <c r="Z102" s="1077"/>
      <c r="AA102" s="1549"/>
      <c r="AB102" s="500"/>
      <c r="AC102" s="500"/>
      <c r="AD102" s="500"/>
      <c r="AE102" s="500"/>
      <c r="AF102" s="1558">
        <v>11</v>
      </c>
    </row>
    <row r="103" spans="1:32" s="2212" customFormat="1" ht="11.5" customHeight="1">
      <c r="A103" s="909"/>
      <c r="B103" s="1553"/>
      <c r="C103" s="1553"/>
      <c r="D103" s="285"/>
      <c r="K103" s="1077"/>
      <c r="L103" s="1553"/>
      <c r="M103" s="1553"/>
      <c r="N103" s="1077"/>
      <c r="O103" s="1077"/>
      <c r="P103" s="1077"/>
      <c r="Q103" s="1077"/>
      <c r="R103" s="1553"/>
      <c r="S103" s="1077"/>
      <c r="T103" s="1077"/>
      <c r="U103" s="478"/>
      <c r="V103" s="1077"/>
      <c r="W103" s="1077"/>
      <c r="X103" s="1077"/>
      <c r="Y103" s="1077"/>
      <c r="Z103" s="1077"/>
      <c r="AA103" s="1549"/>
      <c r="AB103" s="500"/>
      <c r="AC103" s="500"/>
      <c r="AD103" s="500"/>
      <c r="AE103" s="500"/>
      <c r="AF103" s="1558">
        <v>11</v>
      </c>
    </row>
    <row r="104" spans="1:32" s="2212" customFormat="1" ht="11.5" customHeight="1">
      <c r="A104" s="909"/>
      <c r="B104" s="1553"/>
      <c r="C104" s="1553"/>
      <c r="D104" s="285"/>
      <c r="K104" s="1077"/>
      <c r="L104" s="1553"/>
      <c r="M104" s="1553"/>
      <c r="N104" s="1077"/>
      <c r="O104" s="1077"/>
      <c r="P104" s="1077"/>
      <c r="Q104" s="1077"/>
      <c r="R104" s="1553"/>
      <c r="S104" s="1077"/>
      <c r="T104" s="1077"/>
      <c r="U104" s="478"/>
      <c r="V104" s="1077"/>
      <c r="W104" s="1077"/>
      <c r="X104" s="1077"/>
      <c r="Y104" s="1077"/>
      <c r="Z104" s="1077"/>
      <c r="AA104" s="1549"/>
      <c r="AB104" s="500"/>
      <c r="AC104" s="500"/>
      <c r="AD104" s="500"/>
      <c r="AE104" s="500"/>
      <c r="AF104" s="1558">
        <v>11</v>
      </c>
    </row>
    <row r="105" spans="1:32" s="2212" customFormat="1" ht="11.5" customHeight="1">
      <c r="A105" s="909"/>
      <c r="B105" s="1553"/>
      <c r="C105" s="1553"/>
      <c r="D105" s="285"/>
      <c r="K105" s="1077"/>
      <c r="L105" s="1553"/>
      <c r="M105" s="1553"/>
      <c r="N105" s="1077"/>
      <c r="O105" s="1077"/>
      <c r="P105" s="1077"/>
      <c r="Q105" s="1077"/>
      <c r="R105" s="1553"/>
      <c r="S105" s="1077"/>
      <c r="T105" s="1077"/>
      <c r="U105" s="478"/>
      <c r="V105" s="1077"/>
      <c r="W105" s="1077"/>
      <c r="X105" s="1077"/>
      <c r="Y105" s="1077"/>
      <c r="Z105" s="1077"/>
      <c r="AA105" s="1549"/>
      <c r="AB105" s="500"/>
      <c r="AC105" s="500"/>
      <c r="AD105" s="500"/>
      <c r="AE105" s="500"/>
      <c r="AF105" s="1558">
        <v>11</v>
      </c>
    </row>
    <row r="106" spans="1:32" s="2212" customFormat="1" ht="11.5" customHeight="1">
      <c r="A106" s="909"/>
      <c r="B106" s="1553"/>
      <c r="C106" s="1553"/>
      <c r="D106" s="285"/>
      <c r="K106" s="1077"/>
      <c r="L106" s="1553"/>
      <c r="M106" s="1553"/>
      <c r="N106" s="1077"/>
      <c r="O106" s="1077"/>
      <c r="P106" s="1077"/>
      <c r="Q106" s="1077"/>
      <c r="R106" s="1553"/>
      <c r="S106" s="1077"/>
      <c r="T106" s="1077"/>
      <c r="U106" s="478"/>
      <c r="V106" s="1077"/>
      <c r="W106" s="1077"/>
      <c r="X106" s="1077"/>
      <c r="Y106" s="1077"/>
      <c r="Z106" s="1077"/>
      <c r="AA106" s="1549"/>
      <c r="AB106" s="500"/>
      <c r="AC106" s="500"/>
      <c r="AD106" s="500"/>
      <c r="AE106" s="500"/>
      <c r="AF106" s="1558">
        <v>11</v>
      </c>
    </row>
    <row r="107" spans="1:32" s="2212" customFormat="1" ht="11.5" customHeight="1">
      <c r="A107" s="909"/>
      <c r="B107" s="1553"/>
      <c r="C107" s="1553"/>
      <c r="D107" s="285"/>
      <c r="K107" s="1077"/>
      <c r="L107" s="1553"/>
      <c r="M107" s="1553"/>
      <c r="N107" s="1077"/>
      <c r="O107" s="1077"/>
      <c r="P107" s="1077"/>
      <c r="Q107" s="1077"/>
      <c r="R107" s="1553"/>
      <c r="S107" s="1077"/>
      <c r="T107" s="1077"/>
      <c r="U107" s="478"/>
      <c r="V107" s="1077"/>
      <c r="W107" s="1077"/>
      <c r="X107" s="1077"/>
      <c r="Y107" s="1077"/>
      <c r="Z107" s="1077"/>
      <c r="AA107" s="1549"/>
      <c r="AB107" s="500"/>
      <c r="AC107" s="500"/>
      <c r="AD107" s="500"/>
      <c r="AE107" s="500"/>
      <c r="AF107" s="1558">
        <v>11</v>
      </c>
    </row>
    <row r="108" spans="1:32" s="2212" customFormat="1" ht="11.5" customHeight="1">
      <c r="A108" s="909"/>
      <c r="B108" s="1553"/>
      <c r="C108" s="1553"/>
      <c r="D108" s="285"/>
      <c r="K108" s="1077"/>
      <c r="L108" s="1553"/>
      <c r="M108" s="1553"/>
      <c r="N108" s="1077"/>
      <c r="O108" s="1077"/>
      <c r="P108" s="1077"/>
      <c r="Q108" s="1077"/>
      <c r="R108" s="1553"/>
      <c r="S108" s="1077"/>
      <c r="T108" s="1077"/>
      <c r="U108" s="478"/>
      <c r="V108" s="1077"/>
      <c r="W108" s="1077"/>
      <c r="X108" s="1077"/>
      <c r="Y108" s="1077"/>
      <c r="Z108" s="1077"/>
      <c r="AA108" s="1549"/>
      <c r="AB108" s="500"/>
      <c r="AC108" s="500"/>
      <c r="AD108" s="500"/>
      <c r="AE108" s="500"/>
      <c r="AF108" s="1558">
        <v>11</v>
      </c>
    </row>
    <row r="109" spans="1:32" s="2212" customFormat="1" ht="11.5" customHeight="1">
      <c r="A109" s="909"/>
      <c r="B109" s="1553"/>
      <c r="C109" s="1553"/>
      <c r="D109" s="285"/>
      <c r="K109" s="1077"/>
      <c r="L109" s="1553"/>
      <c r="M109" s="1553"/>
      <c r="N109" s="1077"/>
      <c r="O109" s="1077"/>
      <c r="P109" s="1077"/>
      <c r="Q109" s="1077"/>
      <c r="R109" s="1553"/>
      <c r="S109" s="1077"/>
      <c r="T109" s="1077"/>
      <c r="U109" s="478"/>
      <c r="V109" s="1077"/>
      <c r="W109" s="1077"/>
      <c r="X109" s="1077"/>
      <c r="Y109" s="1077"/>
      <c r="Z109" s="1077"/>
      <c r="AA109" s="1549"/>
      <c r="AB109" s="500"/>
      <c r="AC109" s="500"/>
      <c r="AD109" s="500"/>
      <c r="AE109" s="500"/>
      <c r="AF109" s="1558">
        <v>11</v>
      </c>
    </row>
    <row r="110" spans="1:32" s="2212" customFormat="1" ht="11.5" customHeight="1">
      <c r="A110" s="909"/>
      <c r="B110" s="1553"/>
      <c r="C110" s="1553"/>
      <c r="D110" s="285"/>
      <c r="K110" s="1077"/>
      <c r="L110" s="1553"/>
      <c r="M110" s="1553"/>
      <c r="N110" s="1077"/>
      <c r="O110" s="1077"/>
      <c r="P110" s="1077"/>
      <c r="Q110" s="1077"/>
      <c r="R110" s="1553"/>
      <c r="S110" s="1077"/>
      <c r="T110" s="1077"/>
      <c r="U110" s="478"/>
      <c r="V110" s="1077"/>
      <c r="W110" s="1077"/>
      <c r="X110" s="1077"/>
      <c r="Y110" s="1077"/>
      <c r="Z110" s="1077"/>
      <c r="AA110" s="1549"/>
      <c r="AB110" s="500"/>
      <c r="AC110" s="500"/>
      <c r="AD110" s="500"/>
      <c r="AE110" s="500"/>
      <c r="AF110" s="1558">
        <v>11</v>
      </c>
    </row>
    <row r="111" spans="1:32" s="2212" customFormat="1" ht="11.5" customHeight="1">
      <c r="A111" s="909"/>
      <c r="B111" s="1553"/>
      <c r="C111" s="1553"/>
      <c r="D111" s="285"/>
      <c r="K111" s="1077"/>
      <c r="L111" s="1553"/>
      <c r="M111" s="1553"/>
      <c r="N111" s="1077"/>
      <c r="O111" s="1077"/>
      <c r="P111" s="1077"/>
      <c r="Q111" s="1077"/>
      <c r="R111" s="1553"/>
      <c r="S111" s="1077"/>
      <c r="T111" s="1077"/>
      <c r="U111" s="478"/>
      <c r="V111" s="1077"/>
      <c r="W111" s="1077"/>
      <c r="X111" s="1077"/>
      <c r="Y111" s="1077"/>
      <c r="Z111" s="1077"/>
      <c r="AA111" s="1549"/>
      <c r="AB111" s="500"/>
      <c r="AC111" s="500"/>
      <c r="AD111" s="500"/>
      <c r="AE111" s="500"/>
      <c r="AF111" s="1558">
        <v>11</v>
      </c>
    </row>
    <row r="112" spans="1:32" s="2212" customFormat="1" ht="11.5" customHeight="1">
      <c r="A112" s="909"/>
      <c r="B112" s="1553"/>
      <c r="C112" s="1553"/>
      <c r="D112" s="285"/>
      <c r="K112" s="1077"/>
      <c r="L112" s="1553"/>
      <c r="M112" s="1553"/>
      <c r="N112" s="1077"/>
      <c r="O112" s="1077"/>
      <c r="P112" s="1077"/>
      <c r="Q112" s="1077"/>
      <c r="R112" s="1553"/>
      <c r="S112" s="1077"/>
      <c r="T112" s="1077"/>
      <c r="U112" s="478"/>
      <c r="V112" s="1077"/>
      <c r="W112" s="1077"/>
      <c r="X112" s="1077"/>
      <c r="Y112" s="1077"/>
      <c r="Z112" s="1077"/>
      <c r="AA112" s="1549"/>
      <c r="AB112" s="500"/>
      <c r="AC112" s="500"/>
      <c r="AD112" s="500"/>
      <c r="AE112" s="500"/>
      <c r="AF112" s="1558">
        <v>11</v>
      </c>
    </row>
    <row r="113" spans="1:32" s="2212" customFormat="1" ht="11.5" customHeight="1">
      <c r="A113" s="909"/>
      <c r="B113" s="1553"/>
      <c r="C113" s="1553"/>
      <c r="D113" s="285"/>
      <c r="K113" s="1077"/>
      <c r="L113" s="1553"/>
      <c r="M113" s="1553"/>
      <c r="N113" s="1077"/>
      <c r="O113" s="1077"/>
      <c r="P113" s="1077"/>
      <c r="Q113" s="1077"/>
      <c r="R113" s="1553"/>
      <c r="S113" s="1077"/>
      <c r="T113" s="1077"/>
      <c r="U113" s="478"/>
      <c r="V113" s="1077"/>
      <c r="W113" s="1077"/>
      <c r="X113" s="1077"/>
      <c r="Y113" s="1077"/>
      <c r="Z113" s="1077"/>
      <c r="AA113" s="1549"/>
      <c r="AB113" s="500"/>
      <c r="AC113" s="500"/>
      <c r="AD113" s="500"/>
      <c r="AE113" s="500"/>
      <c r="AF113" s="1558">
        <v>11</v>
      </c>
    </row>
    <row r="114" spans="1:32" s="2212" customFormat="1" ht="11.5" customHeight="1">
      <c r="A114" s="909"/>
      <c r="B114" s="1553"/>
      <c r="C114" s="1553"/>
      <c r="D114" s="285"/>
      <c r="K114" s="1077"/>
      <c r="L114" s="1553"/>
      <c r="M114" s="1553"/>
      <c r="N114" s="1077"/>
      <c r="O114" s="1077"/>
      <c r="P114" s="1077"/>
      <c r="Q114" s="1077"/>
      <c r="R114" s="1553"/>
      <c r="S114" s="1077"/>
      <c r="T114" s="1077"/>
      <c r="U114" s="478"/>
      <c r="V114" s="1077"/>
      <c r="W114" s="1077"/>
      <c r="X114" s="1077"/>
      <c r="Y114" s="1077"/>
      <c r="Z114" s="1077"/>
      <c r="AA114" s="1549"/>
      <c r="AB114" s="500"/>
      <c r="AC114" s="500"/>
      <c r="AD114" s="500"/>
      <c r="AE114" s="500"/>
      <c r="AF114" s="1558">
        <v>11</v>
      </c>
    </row>
    <row r="115" spans="1:32" s="2212" customFormat="1" ht="11.5" customHeight="1">
      <c r="A115" s="909"/>
      <c r="B115" s="1553"/>
      <c r="C115" s="1553"/>
      <c r="D115" s="285"/>
      <c r="K115" s="1077"/>
      <c r="L115" s="1553"/>
      <c r="M115" s="1553"/>
      <c r="N115" s="1077"/>
      <c r="O115" s="1077"/>
      <c r="P115" s="1077"/>
      <c r="Q115" s="1077"/>
      <c r="R115" s="1553"/>
      <c r="S115" s="1077"/>
      <c r="T115" s="1077"/>
      <c r="U115" s="478"/>
      <c r="V115" s="1077"/>
      <c r="W115" s="1077"/>
      <c r="X115" s="1077"/>
      <c r="Y115" s="1077"/>
      <c r="Z115" s="1077"/>
      <c r="AA115" s="1549"/>
      <c r="AB115" s="500"/>
      <c r="AC115" s="500"/>
      <c r="AD115" s="500"/>
      <c r="AE115" s="500"/>
      <c r="AF115" s="1558">
        <v>11</v>
      </c>
    </row>
    <row r="116" spans="1:32" s="2212" customFormat="1" ht="11.5" customHeight="1">
      <c r="A116" s="909"/>
      <c r="B116" s="1553"/>
      <c r="C116" s="1553"/>
      <c r="D116" s="285"/>
      <c r="K116" s="1077"/>
      <c r="L116" s="1553"/>
      <c r="M116" s="1553"/>
      <c r="N116" s="1077"/>
      <c r="O116" s="1077"/>
      <c r="P116" s="1077"/>
      <c r="Q116" s="1077"/>
      <c r="R116" s="1553"/>
      <c r="S116" s="1077"/>
      <c r="T116" s="1077"/>
      <c r="U116" s="478"/>
      <c r="V116" s="1077"/>
      <c r="W116" s="1077"/>
      <c r="X116" s="1077"/>
      <c r="Y116" s="1077"/>
      <c r="Z116" s="1077"/>
      <c r="AA116" s="1549"/>
      <c r="AB116" s="500"/>
      <c r="AC116" s="500"/>
      <c r="AD116" s="500"/>
      <c r="AE116" s="500"/>
      <c r="AF116" s="1558">
        <v>11</v>
      </c>
    </row>
    <row r="117" spans="1:32" s="2212" customFormat="1" ht="11.5" customHeight="1">
      <c r="A117" s="909"/>
      <c r="B117" s="1553"/>
      <c r="C117" s="1553"/>
      <c r="D117" s="285"/>
      <c r="K117" s="1077"/>
      <c r="L117" s="1553"/>
      <c r="M117" s="1553"/>
      <c r="N117" s="1077"/>
      <c r="O117" s="1077"/>
      <c r="P117" s="1077"/>
      <c r="Q117" s="1077"/>
      <c r="R117" s="1553"/>
      <c r="S117" s="1077"/>
      <c r="T117" s="1077"/>
      <c r="U117" s="478"/>
      <c r="V117" s="1077"/>
      <c r="W117" s="1077"/>
      <c r="X117" s="1077"/>
      <c r="Y117" s="1077"/>
      <c r="Z117" s="1077"/>
      <c r="AA117" s="1549"/>
      <c r="AB117" s="500"/>
      <c r="AC117" s="500"/>
      <c r="AD117" s="500"/>
      <c r="AE117" s="500"/>
      <c r="AF117" s="1558">
        <v>11</v>
      </c>
    </row>
    <row r="118" spans="1:32" s="2212" customFormat="1" ht="11.5" customHeight="1">
      <c r="A118" s="909"/>
      <c r="B118" s="1553"/>
      <c r="C118" s="1553"/>
      <c r="D118" s="285"/>
      <c r="K118" s="1077"/>
      <c r="L118" s="1553"/>
      <c r="M118" s="1553"/>
      <c r="N118" s="1077"/>
      <c r="O118" s="1077"/>
      <c r="P118" s="1077"/>
      <c r="Q118" s="1077"/>
      <c r="R118" s="1553"/>
      <c r="S118" s="1077"/>
      <c r="T118" s="1077"/>
      <c r="U118" s="478"/>
      <c r="V118" s="1077"/>
      <c r="W118" s="1077"/>
      <c r="X118" s="1077"/>
      <c r="Y118" s="1077"/>
      <c r="Z118" s="1077"/>
      <c r="AA118" s="1549"/>
      <c r="AB118" s="500"/>
      <c r="AC118" s="500"/>
      <c r="AD118" s="500"/>
      <c r="AE118" s="500"/>
      <c r="AF118" s="1558">
        <v>11</v>
      </c>
    </row>
    <row r="119" spans="1:32" s="2212" customFormat="1" ht="11.5" customHeight="1">
      <c r="A119" s="909"/>
      <c r="B119" s="1553"/>
      <c r="C119" s="1553"/>
      <c r="D119" s="285"/>
      <c r="K119" s="1077"/>
      <c r="L119" s="1553"/>
      <c r="M119" s="1553"/>
      <c r="N119" s="1077"/>
      <c r="O119" s="1077"/>
      <c r="P119" s="1077"/>
      <c r="Q119" s="1077"/>
      <c r="R119" s="1553"/>
      <c r="S119" s="1077"/>
      <c r="T119" s="1077"/>
      <c r="U119" s="478"/>
      <c r="V119" s="1077"/>
      <c r="W119" s="1077"/>
      <c r="X119" s="1077"/>
      <c r="Y119" s="1077"/>
      <c r="Z119" s="1077"/>
      <c r="AA119" s="1549"/>
      <c r="AB119" s="500"/>
      <c r="AC119" s="500"/>
      <c r="AD119" s="500"/>
      <c r="AE119" s="500"/>
      <c r="AF119" s="1558">
        <v>11</v>
      </c>
    </row>
    <row r="120" spans="1:32" s="2212" customFormat="1" ht="11.5" customHeight="1">
      <c r="A120" s="909"/>
      <c r="B120" s="1553"/>
      <c r="C120" s="1553"/>
      <c r="D120" s="285"/>
      <c r="K120" s="1077"/>
      <c r="L120" s="1553"/>
      <c r="M120" s="1553"/>
      <c r="N120" s="1077"/>
      <c r="O120" s="1077"/>
      <c r="P120" s="1077"/>
      <c r="Q120" s="1077"/>
      <c r="R120" s="1553"/>
      <c r="S120" s="1077"/>
      <c r="T120" s="1077"/>
      <c r="U120" s="478"/>
      <c r="V120" s="1077"/>
      <c r="W120" s="1077"/>
      <c r="X120" s="1077"/>
      <c r="Y120" s="1077"/>
      <c r="Z120" s="1077"/>
      <c r="AA120" s="1549"/>
      <c r="AB120" s="500"/>
      <c r="AC120" s="500"/>
      <c r="AD120" s="500"/>
      <c r="AE120" s="500"/>
      <c r="AF120" s="1558">
        <v>11</v>
      </c>
    </row>
    <row r="121" spans="1:32" s="2212" customFormat="1" ht="11.5" customHeight="1">
      <c r="A121" s="909"/>
      <c r="B121" s="1553"/>
      <c r="C121" s="1553"/>
      <c r="D121" s="285"/>
      <c r="K121" s="1077"/>
      <c r="L121" s="1553"/>
      <c r="M121" s="1553"/>
      <c r="N121" s="1077"/>
      <c r="O121" s="1077"/>
      <c r="P121" s="1077"/>
      <c r="Q121" s="1077"/>
      <c r="R121" s="1553"/>
      <c r="S121" s="1077"/>
      <c r="T121" s="1077"/>
      <c r="U121" s="478"/>
      <c r="V121" s="1077"/>
      <c r="W121" s="1077"/>
      <c r="X121" s="1077"/>
      <c r="Y121" s="1077"/>
      <c r="Z121" s="1077"/>
      <c r="AA121" s="1549"/>
      <c r="AB121" s="500"/>
      <c r="AC121" s="500"/>
      <c r="AD121" s="500"/>
      <c r="AE121" s="500"/>
      <c r="AF121" s="1558">
        <v>11</v>
      </c>
    </row>
    <row r="122" spans="1:32" s="2212" customFormat="1" ht="11.5" customHeight="1">
      <c r="A122" s="909"/>
      <c r="B122" s="1553"/>
      <c r="C122" s="1553"/>
      <c r="D122" s="285"/>
      <c r="K122" s="1077"/>
      <c r="L122" s="1553"/>
      <c r="M122" s="1553"/>
      <c r="N122" s="1077"/>
      <c r="O122" s="1077"/>
      <c r="P122" s="1077"/>
      <c r="Q122" s="1077"/>
      <c r="R122" s="1553"/>
      <c r="S122" s="1077"/>
      <c r="T122" s="1077"/>
      <c r="U122" s="478"/>
      <c r="V122" s="1077"/>
      <c r="W122" s="1077"/>
      <c r="X122" s="1077"/>
      <c r="Y122" s="1077"/>
      <c r="Z122" s="1077"/>
      <c r="AA122" s="1549"/>
      <c r="AB122" s="500"/>
      <c r="AC122" s="500"/>
      <c r="AD122" s="500"/>
      <c r="AE122" s="500"/>
      <c r="AF122" s="1558">
        <v>11</v>
      </c>
    </row>
    <row r="123" spans="1:32" s="2212" customFormat="1" ht="11.5" customHeight="1">
      <c r="A123" s="909"/>
      <c r="B123" s="1553"/>
      <c r="C123" s="1553"/>
      <c r="D123" s="285"/>
      <c r="K123" s="1077"/>
      <c r="L123" s="1553"/>
      <c r="M123" s="1553"/>
      <c r="N123" s="1077"/>
      <c r="O123" s="1077"/>
      <c r="P123" s="1077"/>
      <c r="Q123" s="1077"/>
      <c r="R123" s="1553"/>
      <c r="S123" s="1077"/>
      <c r="T123" s="1077"/>
      <c r="U123" s="478"/>
      <c r="V123" s="1077"/>
      <c r="W123" s="1077"/>
      <c r="X123" s="1077"/>
      <c r="Y123" s="1077"/>
      <c r="Z123" s="1077"/>
      <c r="AA123" s="1549"/>
      <c r="AB123" s="500"/>
      <c r="AC123" s="500"/>
      <c r="AD123" s="500"/>
      <c r="AE123" s="500"/>
      <c r="AF123" s="1558">
        <v>11</v>
      </c>
    </row>
    <row r="124" spans="1:32" s="2212" customFormat="1" ht="11.5" customHeight="1">
      <c r="A124" s="909"/>
      <c r="B124" s="1553"/>
      <c r="C124" s="1553"/>
      <c r="D124" s="285"/>
      <c r="K124" s="1077"/>
      <c r="L124" s="1553"/>
      <c r="M124" s="1553"/>
      <c r="N124" s="1077"/>
      <c r="O124" s="1077"/>
      <c r="P124" s="1077"/>
      <c r="Q124" s="1077"/>
      <c r="R124" s="1553"/>
      <c r="S124" s="1077"/>
      <c r="T124" s="1077"/>
      <c r="U124" s="478"/>
      <c r="V124" s="1077"/>
      <c r="W124" s="1077"/>
      <c r="X124" s="1077"/>
      <c r="Y124" s="1077"/>
      <c r="Z124" s="1077"/>
      <c r="AA124" s="1549"/>
      <c r="AB124" s="500"/>
      <c r="AC124" s="500"/>
      <c r="AD124" s="500"/>
      <c r="AE124" s="500"/>
      <c r="AF124" s="1558">
        <v>11</v>
      </c>
    </row>
    <row r="125" spans="1:32" s="2212" customFormat="1" ht="11.5" customHeight="1">
      <c r="A125" s="909"/>
      <c r="B125" s="1553"/>
      <c r="C125" s="1553"/>
      <c r="D125" s="285"/>
      <c r="K125" s="1077"/>
      <c r="L125" s="1553"/>
      <c r="M125" s="1553"/>
      <c r="N125" s="1077"/>
      <c r="O125" s="1077"/>
      <c r="P125" s="1077"/>
      <c r="Q125" s="1077"/>
      <c r="R125" s="1553"/>
      <c r="S125" s="1077"/>
      <c r="T125" s="1077"/>
      <c r="U125" s="478"/>
      <c r="V125" s="1077"/>
      <c r="W125" s="1077"/>
      <c r="X125" s="1077"/>
      <c r="Y125" s="1077"/>
      <c r="Z125" s="1077"/>
      <c r="AA125" s="1549"/>
      <c r="AB125" s="500"/>
      <c r="AC125" s="500"/>
      <c r="AD125" s="500"/>
      <c r="AE125" s="500"/>
      <c r="AF125" s="1558">
        <v>11</v>
      </c>
    </row>
    <row r="126" spans="1:32" s="2212" customFormat="1" ht="11.5" customHeight="1">
      <c r="A126" s="909"/>
      <c r="B126" s="1553"/>
      <c r="C126" s="1553"/>
      <c r="D126" s="285"/>
      <c r="K126" s="1077"/>
      <c r="L126" s="1553"/>
      <c r="M126" s="1553"/>
      <c r="N126" s="1077"/>
      <c r="O126" s="1077"/>
      <c r="P126" s="1077"/>
      <c r="Q126" s="1077"/>
      <c r="R126" s="1553"/>
      <c r="S126" s="1077"/>
      <c r="T126" s="1077"/>
      <c r="U126" s="478"/>
      <c r="V126" s="1077"/>
      <c r="W126" s="1077"/>
      <c r="X126" s="1077"/>
      <c r="Y126" s="1077"/>
      <c r="Z126" s="1077"/>
      <c r="AA126" s="1549"/>
      <c r="AB126" s="500"/>
      <c r="AC126" s="500"/>
      <c r="AD126" s="500"/>
      <c r="AE126" s="500"/>
      <c r="AF126" s="1558">
        <v>11</v>
      </c>
    </row>
    <row r="127" spans="1:32" s="2212" customFormat="1" ht="11.5" customHeight="1">
      <c r="A127" s="909"/>
      <c r="B127" s="1553"/>
      <c r="C127" s="1553"/>
      <c r="D127" s="285"/>
      <c r="K127" s="1077"/>
      <c r="L127" s="1553"/>
      <c r="M127" s="1553"/>
      <c r="N127" s="1077"/>
      <c r="O127" s="1077"/>
      <c r="P127" s="1077"/>
      <c r="Q127" s="1077"/>
      <c r="R127" s="1553"/>
      <c r="S127" s="1077"/>
      <c r="T127" s="1077"/>
      <c r="U127" s="478"/>
      <c r="V127" s="1077"/>
      <c r="W127" s="1077"/>
      <c r="X127" s="1077"/>
      <c r="Y127" s="1077"/>
      <c r="Z127" s="1077"/>
      <c r="AA127" s="1549"/>
      <c r="AB127" s="500"/>
      <c r="AC127" s="500"/>
      <c r="AD127" s="500"/>
      <c r="AE127" s="500"/>
      <c r="AF127" s="1558">
        <v>11</v>
      </c>
    </row>
    <row r="128" spans="1:32" s="2212" customFormat="1" ht="11.5" customHeight="1">
      <c r="A128" s="909"/>
      <c r="B128" s="1553"/>
      <c r="C128" s="1553"/>
      <c r="D128" s="285"/>
      <c r="K128" s="1077"/>
      <c r="L128" s="1553"/>
      <c r="M128" s="1553"/>
      <c r="N128" s="1077"/>
      <c r="O128" s="1077"/>
      <c r="P128" s="1077"/>
      <c r="Q128" s="1077"/>
      <c r="R128" s="1553"/>
      <c r="S128" s="1077"/>
      <c r="T128" s="1077"/>
      <c r="U128" s="478"/>
      <c r="V128" s="1077"/>
      <c r="W128" s="1077"/>
      <c r="X128" s="1077"/>
      <c r="Y128" s="1077"/>
      <c r="Z128" s="1077"/>
      <c r="AA128" s="1549"/>
      <c r="AB128" s="500"/>
      <c r="AC128" s="500"/>
      <c r="AD128" s="500"/>
      <c r="AE128" s="500"/>
      <c r="AF128" s="1558">
        <v>11</v>
      </c>
    </row>
    <row r="129" spans="1:32" s="2212" customFormat="1" ht="11.5" customHeight="1">
      <c r="A129" s="909"/>
      <c r="B129" s="1553"/>
      <c r="C129" s="1553"/>
      <c r="D129" s="285"/>
      <c r="K129" s="1077"/>
      <c r="L129" s="1553"/>
      <c r="M129" s="1553"/>
      <c r="N129" s="1077"/>
      <c r="O129" s="1077"/>
      <c r="P129" s="1077"/>
      <c r="Q129" s="1077"/>
      <c r="R129" s="1553"/>
      <c r="S129" s="1077"/>
      <c r="T129" s="1077"/>
      <c r="U129" s="478"/>
      <c r="V129" s="1077"/>
      <c r="W129" s="1077"/>
      <c r="X129" s="1077"/>
      <c r="Y129" s="1077"/>
      <c r="Z129" s="1077"/>
      <c r="AA129" s="1549"/>
      <c r="AB129" s="500"/>
      <c r="AC129" s="500"/>
      <c r="AD129" s="500"/>
      <c r="AE129" s="500"/>
      <c r="AF129" s="1558">
        <v>11</v>
      </c>
    </row>
    <row r="130" spans="1:32" s="2212" customFormat="1" ht="11.5" customHeight="1">
      <c r="A130" s="909"/>
      <c r="B130" s="1553"/>
      <c r="C130" s="1553"/>
      <c r="D130" s="285"/>
      <c r="K130" s="1077"/>
      <c r="L130" s="1553"/>
      <c r="M130" s="1553"/>
      <c r="N130" s="1077"/>
      <c r="O130" s="1077"/>
      <c r="P130" s="1077"/>
      <c r="Q130" s="1077"/>
      <c r="R130" s="1553"/>
      <c r="S130" s="1077"/>
      <c r="T130" s="1077"/>
      <c r="U130" s="478"/>
      <c r="V130" s="1077"/>
      <c r="W130" s="1077"/>
      <c r="X130" s="1077"/>
      <c r="Y130" s="1077"/>
      <c r="Z130" s="1077"/>
      <c r="AA130" s="1549"/>
      <c r="AB130" s="500"/>
      <c r="AC130" s="500"/>
      <c r="AD130" s="500"/>
      <c r="AE130" s="500"/>
      <c r="AF130" s="1558">
        <v>11</v>
      </c>
    </row>
    <row r="131" spans="1:32" s="2212" customFormat="1" ht="11.5" customHeight="1">
      <c r="A131" s="909"/>
      <c r="B131" s="1553"/>
      <c r="C131" s="1553"/>
      <c r="D131" s="285"/>
      <c r="K131" s="1077"/>
      <c r="L131" s="1553"/>
      <c r="M131" s="1553"/>
      <c r="N131" s="1077"/>
      <c r="O131" s="1077"/>
      <c r="P131" s="1077"/>
      <c r="Q131" s="1077"/>
      <c r="R131" s="1553"/>
      <c r="S131" s="1077"/>
      <c r="T131" s="1077"/>
      <c r="U131" s="478"/>
      <c r="V131" s="1077"/>
      <c r="W131" s="1077"/>
      <c r="X131" s="1077"/>
      <c r="Y131" s="1077"/>
      <c r="Z131" s="1077"/>
      <c r="AA131" s="1549"/>
      <c r="AB131" s="500"/>
      <c r="AC131" s="500"/>
      <c r="AD131" s="500"/>
      <c r="AE131" s="500"/>
      <c r="AF131" s="1558">
        <v>11</v>
      </c>
    </row>
    <row r="132" spans="1:32" s="2212" customFormat="1" ht="11.5" customHeight="1">
      <c r="A132" s="909"/>
      <c r="B132" s="1553"/>
      <c r="C132" s="1553"/>
      <c r="D132" s="285"/>
      <c r="K132" s="1077"/>
      <c r="L132" s="1553"/>
      <c r="M132" s="1553"/>
      <c r="N132" s="1077"/>
      <c r="O132" s="1077"/>
      <c r="P132" s="1077"/>
      <c r="Q132" s="1077"/>
      <c r="R132" s="1553"/>
      <c r="S132" s="1077"/>
      <c r="T132" s="1077"/>
      <c r="U132" s="478"/>
      <c r="V132" s="1077"/>
      <c r="W132" s="1077"/>
      <c r="X132" s="1077"/>
      <c r="Y132" s="1077"/>
      <c r="Z132" s="1077"/>
      <c r="AA132" s="1549"/>
      <c r="AB132" s="500"/>
      <c r="AC132" s="500"/>
      <c r="AD132" s="500"/>
      <c r="AE132" s="500"/>
      <c r="AF132" s="1558">
        <v>11</v>
      </c>
    </row>
    <row r="133" spans="1:32" s="2212" customFormat="1" ht="11.5" customHeight="1">
      <c r="A133" s="909"/>
      <c r="B133" s="1553"/>
      <c r="C133" s="1553"/>
      <c r="D133" s="285"/>
      <c r="K133" s="1077"/>
      <c r="L133" s="1553"/>
      <c r="M133" s="1553"/>
      <c r="N133" s="1077"/>
      <c r="O133" s="1077"/>
      <c r="P133" s="1077"/>
      <c r="Q133" s="1077"/>
      <c r="R133" s="1553"/>
      <c r="S133" s="1077"/>
      <c r="T133" s="1077"/>
      <c r="U133" s="478"/>
      <c r="V133" s="1077"/>
      <c r="W133" s="1077"/>
      <c r="X133" s="1077"/>
      <c r="Y133" s="1077"/>
      <c r="Z133" s="1077"/>
      <c r="AA133" s="1549"/>
      <c r="AB133" s="500"/>
      <c r="AC133" s="500"/>
      <c r="AD133" s="500"/>
      <c r="AE133" s="500"/>
      <c r="AF133" s="1558">
        <v>11</v>
      </c>
    </row>
    <row r="134" spans="1:32" s="2212" customFormat="1" ht="11.5" customHeight="1">
      <c r="A134" s="909"/>
      <c r="B134" s="1553"/>
      <c r="C134" s="1553"/>
      <c r="D134" s="285"/>
      <c r="K134" s="1077"/>
      <c r="L134" s="1553"/>
      <c r="M134" s="1553"/>
      <c r="N134" s="1077"/>
      <c r="O134" s="1077"/>
      <c r="P134" s="1077"/>
      <c r="Q134" s="1077"/>
      <c r="R134" s="1553"/>
      <c r="S134" s="1077"/>
      <c r="T134" s="1077"/>
      <c r="U134" s="478"/>
      <c r="V134" s="1077"/>
      <c r="W134" s="1077"/>
      <c r="X134" s="1077"/>
      <c r="Y134" s="1077"/>
      <c r="Z134" s="1077"/>
      <c r="AA134" s="1549"/>
      <c r="AB134" s="500"/>
      <c r="AC134" s="500"/>
      <c r="AD134" s="500"/>
      <c r="AE134" s="500"/>
      <c r="AF134" s="1558">
        <v>11</v>
      </c>
    </row>
    <row r="135" spans="1:32" s="2212" customFormat="1" ht="11.5" customHeight="1">
      <c r="A135" s="909"/>
      <c r="B135" s="1553"/>
      <c r="C135" s="1553"/>
      <c r="D135" s="285"/>
      <c r="K135" s="1077"/>
      <c r="L135" s="1553"/>
      <c r="M135" s="1553"/>
      <c r="N135" s="1077"/>
      <c r="O135" s="1077"/>
      <c r="P135" s="1077"/>
      <c r="Q135" s="1077"/>
      <c r="R135" s="1553"/>
      <c r="S135" s="1077"/>
      <c r="T135" s="1077"/>
      <c r="U135" s="478"/>
      <c r="V135" s="1077"/>
      <c r="W135" s="1077"/>
      <c r="X135" s="1077"/>
      <c r="Y135" s="1077"/>
      <c r="Z135" s="1077"/>
      <c r="AA135" s="1549"/>
      <c r="AB135" s="500"/>
      <c r="AC135" s="500"/>
      <c r="AD135" s="500"/>
      <c r="AE135" s="500"/>
      <c r="AF135" s="1558">
        <v>11</v>
      </c>
    </row>
    <row r="136" spans="1:32" s="2212" customFormat="1" ht="11.5" customHeight="1">
      <c r="A136" s="909"/>
      <c r="B136" s="1553"/>
      <c r="C136" s="1553"/>
      <c r="D136" s="285"/>
      <c r="K136" s="1077"/>
      <c r="L136" s="1553"/>
      <c r="M136" s="1553"/>
      <c r="N136" s="1077"/>
      <c r="O136" s="1077"/>
      <c r="P136" s="1077"/>
      <c r="Q136" s="1077"/>
      <c r="R136" s="1553"/>
      <c r="S136" s="1077"/>
      <c r="T136" s="1077"/>
      <c r="U136" s="478"/>
      <c r="V136" s="1077"/>
      <c r="W136" s="1077"/>
      <c r="X136" s="1077"/>
      <c r="Y136" s="1077"/>
      <c r="Z136" s="1077"/>
      <c r="AA136" s="1549"/>
      <c r="AB136" s="500"/>
      <c r="AC136" s="500"/>
      <c r="AD136" s="500"/>
      <c r="AE136" s="500"/>
      <c r="AF136" s="1558">
        <v>11</v>
      </c>
    </row>
    <row r="137" spans="1:32" s="2212" customFormat="1" ht="11.5" customHeight="1">
      <c r="A137" s="909"/>
      <c r="B137" s="1553"/>
      <c r="C137" s="1553"/>
      <c r="D137" s="285"/>
      <c r="K137" s="1077"/>
      <c r="L137" s="1553"/>
      <c r="M137" s="1553"/>
      <c r="N137" s="1077"/>
      <c r="O137" s="1077"/>
      <c r="P137" s="1077"/>
      <c r="Q137" s="1077"/>
      <c r="R137" s="1553"/>
      <c r="S137" s="1077"/>
      <c r="T137" s="1077"/>
      <c r="U137" s="478"/>
      <c r="V137" s="1077"/>
      <c r="W137" s="1077"/>
      <c r="X137" s="1077"/>
      <c r="Y137" s="1077"/>
      <c r="Z137" s="1077"/>
      <c r="AA137" s="1549"/>
      <c r="AB137" s="500"/>
      <c r="AC137" s="500"/>
      <c r="AD137" s="500"/>
      <c r="AE137" s="500"/>
      <c r="AF137" s="1558">
        <v>11</v>
      </c>
    </row>
    <row r="138" spans="1:32" s="2212" customFormat="1" ht="11.5" customHeight="1">
      <c r="A138" s="909"/>
      <c r="B138" s="1553"/>
      <c r="C138" s="1553"/>
      <c r="D138" s="285"/>
      <c r="K138" s="1077"/>
      <c r="L138" s="1553"/>
      <c r="M138" s="1553"/>
      <c r="N138" s="1077"/>
      <c r="O138" s="1077"/>
      <c r="P138" s="1077"/>
      <c r="Q138" s="1077"/>
      <c r="R138" s="1553"/>
      <c r="S138" s="1077"/>
      <c r="T138" s="1077"/>
      <c r="U138" s="478"/>
      <c r="V138" s="1077"/>
      <c r="W138" s="1077"/>
      <c r="X138" s="1077"/>
      <c r="Y138" s="1077"/>
      <c r="Z138" s="1077"/>
      <c r="AA138" s="1549"/>
      <c r="AB138" s="500"/>
      <c r="AC138" s="500"/>
      <c r="AD138" s="500"/>
      <c r="AE138" s="500"/>
      <c r="AF138" s="1558">
        <v>11</v>
      </c>
    </row>
    <row r="139" spans="1:32" s="2212" customFormat="1" ht="11.5" customHeight="1">
      <c r="A139" s="909"/>
      <c r="B139" s="1553"/>
      <c r="C139" s="1553"/>
      <c r="D139" s="285"/>
      <c r="K139" s="1077"/>
      <c r="L139" s="1553"/>
      <c r="M139" s="1553"/>
      <c r="N139" s="1077"/>
      <c r="O139" s="1077"/>
      <c r="P139" s="1077"/>
      <c r="Q139" s="1077"/>
      <c r="R139" s="1553"/>
      <c r="S139" s="1077"/>
      <c r="T139" s="1077"/>
      <c r="U139" s="478"/>
      <c r="V139" s="1077"/>
      <c r="W139" s="1077"/>
      <c r="X139" s="1077"/>
      <c r="Y139" s="1077"/>
      <c r="Z139" s="1077"/>
      <c r="AA139" s="1549"/>
      <c r="AB139" s="500"/>
      <c r="AC139" s="500"/>
      <c r="AD139" s="500"/>
      <c r="AE139" s="500"/>
      <c r="AF139" s="1558">
        <v>11</v>
      </c>
    </row>
    <row r="140" spans="1:32" s="2212" customFormat="1" ht="11.5" customHeight="1">
      <c r="A140" s="909"/>
      <c r="B140" s="1553"/>
      <c r="C140" s="1553"/>
      <c r="D140" s="285"/>
      <c r="K140" s="1077"/>
      <c r="L140" s="1553"/>
      <c r="M140" s="1553"/>
      <c r="N140" s="1077"/>
      <c r="O140" s="1077"/>
      <c r="P140" s="1077"/>
      <c r="Q140" s="1077"/>
      <c r="R140" s="1553"/>
      <c r="S140" s="1077"/>
      <c r="T140" s="1077"/>
      <c r="U140" s="478"/>
      <c r="V140" s="1077"/>
      <c r="W140" s="1077"/>
      <c r="X140" s="1077"/>
      <c r="Y140" s="1077"/>
      <c r="Z140" s="1077"/>
      <c r="AA140" s="1549"/>
      <c r="AB140" s="500"/>
      <c r="AC140" s="500"/>
      <c r="AD140" s="500"/>
      <c r="AE140" s="500"/>
      <c r="AF140" s="1558">
        <v>11</v>
      </c>
    </row>
    <row r="141" spans="1:32" s="2212" customFormat="1" ht="11.5" customHeight="1">
      <c r="A141" s="909"/>
      <c r="B141" s="1553"/>
      <c r="C141" s="1553"/>
      <c r="D141" s="285"/>
      <c r="K141" s="1077"/>
      <c r="L141" s="1553"/>
      <c r="M141" s="1553"/>
      <c r="N141" s="1077"/>
      <c r="O141" s="1077"/>
      <c r="P141" s="1077"/>
      <c r="Q141" s="1077"/>
      <c r="R141" s="1553"/>
      <c r="S141" s="1077"/>
      <c r="T141" s="1077"/>
      <c r="U141" s="478"/>
      <c r="V141" s="1077"/>
      <c r="W141" s="1077"/>
      <c r="X141" s="1077"/>
      <c r="Y141" s="1077"/>
      <c r="Z141" s="1077"/>
      <c r="AA141" s="1549"/>
      <c r="AB141" s="500"/>
      <c r="AC141" s="500"/>
      <c r="AD141" s="500"/>
      <c r="AE141" s="500"/>
      <c r="AF141" s="1558">
        <v>11</v>
      </c>
    </row>
    <row r="142" spans="1:32" s="2212" customFormat="1" ht="11.5" customHeight="1">
      <c r="A142" s="909"/>
      <c r="B142" s="1553"/>
      <c r="C142" s="1553"/>
      <c r="D142" s="285"/>
      <c r="K142" s="1077"/>
      <c r="L142" s="1553"/>
      <c r="M142" s="1553"/>
      <c r="N142" s="1077"/>
      <c r="O142" s="1077"/>
      <c r="P142" s="1077"/>
      <c r="Q142" s="1077"/>
      <c r="R142" s="1553"/>
      <c r="S142" s="1077"/>
      <c r="T142" s="1077"/>
      <c r="U142" s="478"/>
      <c r="V142" s="1077"/>
      <c r="W142" s="1077"/>
      <c r="X142" s="1077"/>
      <c r="Y142" s="1077"/>
      <c r="Z142" s="1077"/>
      <c r="AA142" s="1549"/>
      <c r="AB142" s="500"/>
      <c r="AC142" s="500"/>
      <c r="AD142" s="500"/>
      <c r="AE142" s="500"/>
      <c r="AF142" s="1558">
        <v>11</v>
      </c>
    </row>
    <row r="143" spans="1:32" s="2212" customFormat="1" ht="11.5" customHeight="1">
      <c r="A143" s="909"/>
      <c r="B143" s="1553"/>
      <c r="C143" s="1553"/>
      <c r="D143" s="285"/>
      <c r="K143" s="1077"/>
      <c r="L143" s="1553"/>
      <c r="M143" s="1553"/>
      <c r="N143" s="1077"/>
      <c r="O143" s="1077"/>
      <c r="P143" s="1077"/>
      <c r="Q143" s="1077"/>
      <c r="R143" s="1553"/>
      <c r="S143" s="1077"/>
      <c r="T143" s="1077"/>
      <c r="U143" s="478"/>
      <c r="V143" s="1077"/>
      <c r="W143" s="1077"/>
      <c r="X143" s="1077"/>
      <c r="Y143" s="1077"/>
      <c r="Z143" s="1077"/>
      <c r="AA143" s="1549"/>
      <c r="AB143" s="500"/>
      <c r="AC143" s="500"/>
      <c r="AD143" s="500"/>
      <c r="AE143" s="500"/>
      <c r="AF143" s="1558">
        <v>11</v>
      </c>
    </row>
    <row r="144" spans="1:32" s="2212" customFormat="1" ht="11.5" customHeight="1">
      <c r="A144" s="909"/>
      <c r="B144" s="1553"/>
      <c r="C144" s="1553"/>
      <c r="D144" s="285"/>
      <c r="K144" s="1077"/>
      <c r="L144" s="1553"/>
      <c r="M144" s="1553"/>
      <c r="N144" s="1077"/>
      <c r="O144" s="1077"/>
      <c r="P144" s="1077"/>
      <c r="Q144" s="1077"/>
      <c r="R144" s="1553"/>
      <c r="S144" s="1077"/>
      <c r="T144" s="1077"/>
      <c r="U144" s="478"/>
      <c r="V144" s="1077"/>
      <c r="W144" s="1077"/>
      <c r="X144" s="1077"/>
      <c r="Y144" s="1077"/>
      <c r="Z144" s="1077"/>
      <c r="AA144" s="1549"/>
      <c r="AB144" s="500"/>
      <c r="AC144" s="500"/>
      <c r="AD144" s="500"/>
      <c r="AE144" s="500"/>
      <c r="AF144" s="1558">
        <v>11</v>
      </c>
    </row>
    <row r="145" spans="1:32" s="2212" customFormat="1" ht="11.5" customHeight="1">
      <c r="A145" s="909"/>
      <c r="B145" s="1553"/>
      <c r="C145" s="1553"/>
      <c r="D145" s="285"/>
      <c r="K145" s="1077"/>
      <c r="L145" s="1553"/>
      <c r="M145" s="1553"/>
      <c r="N145" s="1077"/>
      <c r="O145" s="1077"/>
      <c r="P145" s="1077"/>
      <c r="Q145" s="1077"/>
      <c r="R145" s="1553"/>
      <c r="S145" s="1077"/>
      <c r="T145" s="1077"/>
      <c r="U145" s="478"/>
      <c r="V145" s="1077"/>
      <c r="W145" s="1077"/>
      <c r="X145" s="1077"/>
      <c r="Y145" s="1077"/>
      <c r="Z145" s="1077"/>
      <c r="AA145" s="1549"/>
      <c r="AB145" s="500"/>
      <c r="AC145" s="500"/>
      <c r="AD145" s="500"/>
      <c r="AE145" s="500"/>
      <c r="AF145" s="1558">
        <v>11</v>
      </c>
    </row>
    <row r="146" spans="1:32" s="2212" customFormat="1" ht="11.5" customHeight="1">
      <c r="A146" s="909"/>
      <c r="B146" s="1553"/>
      <c r="C146" s="1553"/>
      <c r="D146" s="285"/>
      <c r="K146" s="1077"/>
      <c r="L146" s="1553"/>
      <c r="M146" s="1553"/>
      <c r="N146" s="1077"/>
      <c r="O146" s="1077"/>
      <c r="P146" s="1077"/>
      <c r="Q146" s="1077"/>
      <c r="R146" s="1553"/>
      <c r="S146" s="1077"/>
      <c r="T146" s="1077"/>
      <c r="U146" s="478"/>
      <c r="V146" s="1077"/>
      <c r="W146" s="1077"/>
      <c r="X146" s="1077"/>
      <c r="Y146" s="1077"/>
      <c r="Z146" s="1077"/>
      <c r="AA146" s="1549"/>
      <c r="AB146" s="500"/>
      <c r="AC146" s="500"/>
      <c r="AD146" s="500"/>
      <c r="AE146" s="500"/>
      <c r="AF146" s="1558">
        <v>11</v>
      </c>
    </row>
    <row r="147" spans="1:32" s="2212" customFormat="1" ht="11.5" customHeight="1">
      <c r="A147" s="909"/>
      <c r="B147" s="1553"/>
      <c r="C147" s="1553"/>
      <c r="D147" s="285"/>
      <c r="K147" s="1077"/>
      <c r="L147" s="1553"/>
      <c r="M147" s="1553"/>
      <c r="N147" s="1077"/>
      <c r="O147" s="1077"/>
      <c r="P147" s="1077"/>
      <c r="Q147" s="1077"/>
      <c r="R147" s="1553"/>
      <c r="S147" s="1077"/>
      <c r="T147" s="1077"/>
      <c r="U147" s="478"/>
      <c r="V147" s="1077"/>
      <c r="W147" s="1077"/>
      <c r="X147" s="1077"/>
      <c r="Y147" s="1077"/>
      <c r="Z147" s="1077"/>
      <c r="AA147" s="1549"/>
      <c r="AB147" s="500"/>
      <c r="AC147" s="500"/>
      <c r="AD147" s="500"/>
      <c r="AE147" s="500"/>
      <c r="AF147" s="1558">
        <v>11</v>
      </c>
    </row>
    <row r="148" spans="1:32" s="2212" customFormat="1" ht="11.5" customHeight="1">
      <c r="A148" s="909"/>
      <c r="B148" s="1553"/>
      <c r="C148" s="1553"/>
      <c r="D148" s="285"/>
      <c r="K148" s="1077"/>
      <c r="L148" s="1553"/>
      <c r="M148" s="1553"/>
      <c r="N148" s="1077"/>
      <c r="O148" s="1077"/>
      <c r="P148" s="1077"/>
      <c r="Q148" s="1077"/>
      <c r="R148" s="1553"/>
      <c r="S148" s="1077"/>
      <c r="T148" s="1077"/>
      <c r="U148" s="478"/>
      <c r="V148" s="1077"/>
      <c r="W148" s="1077"/>
      <c r="X148" s="1077"/>
      <c r="Y148" s="1077"/>
      <c r="Z148" s="1077"/>
      <c r="AA148" s="1549"/>
      <c r="AB148" s="500"/>
      <c r="AC148" s="500"/>
      <c r="AD148" s="500"/>
      <c r="AE148" s="500"/>
      <c r="AF148" s="1558">
        <v>11</v>
      </c>
    </row>
    <row r="149" spans="1:32" s="2212" customFormat="1" ht="11.5" customHeight="1">
      <c r="A149" s="909"/>
      <c r="B149" s="1553"/>
      <c r="C149" s="1553"/>
      <c r="D149" s="285"/>
      <c r="K149" s="1077"/>
      <c r="L149" s="1553"/>
      <c r="M149" s="1553"/>
      <c r="N149" s="1077"/>
      <c r="O149" s="1077"/>
      <c r="P149" s="1077"/>
      <c r="Q149" s="1077"/>
      <c r="R149" s="1553"/>
      <c r="S149" s="1077"/>
      <c r="T149" s="1077"/>
      <c r="U149" s="478"/>
      <c r="V149" s="1077"/>
      <c r="W149" s="1077"/>
      <c r="X149" s="1077"/>
      <c r="Y149" s="1077"/>
      <c r="Z149" s="1077"/>
      <c r="AA149" s="1549"/>
      <c r="AB149" s="500"/>
      <c r="AC149" s="500"/>
      <c r="AD149" s="500"/>
      <c r="AE149" s="500"/>
      <c r="AF149" s="1558">
        <v>11</v>
      </c>
    </row>
    <row r="150" spans="1:32" s="2212" customFormat="1" ht="11.5" customHeight="1">
      <c r="A150" s="909"/>
      <c r="B150" s="1553"/>
      <c r="C150" s="1553"/>
      <c r="D150" s="285"/>
      <c r="K150" s="1077"/>
      <c r="L150" s="1553"/>
      <c r="M150" s="1553"/>
      <c r="N150" s="1077"/>
      <c r="O150" s="1077"/>
      <c r="P150" s="1077"/>
      <c r="Q150" s="1077"/>
      <c r="R150" s="1553"/>
      <c r="S150" s="1077"/>
      <c r="T150" s="1077"/>
      <c r="U150" s="478"/>
      <c r="V150" s="1077"/>
      <c r="W150" s="1077"/>
      <c r="X150" s="1077"/>
      <c r="Y150" s="1077"/>
      <c r="Z150" s="1077"/>
      <c r="AA150" s="1549"/>
      <c r="AB150" s="500"/>
      <c r="AC150" s="500"/>
      <c r="AD150" s="500"/>
      <c r="AE150" s="500"/>
      <c r="AF150" s="1558">
        <v>11</v>
      </c>
    </row>
    <row r="151" spans="1:32" s="2212" customFormat="1" ht="11.5" customHeight="1">
      <c r="A151" s="909"/>
      <c r="B151" s="1553"/>
      <c r="C151" s="1553"/>
      <c r="D151" s="285"/>
      <c r="K151" s="1077"/>
      <c r="L151" s="1553"/>
      <c r="M151" s="1553"/>
      <c r="N151" s="1077"/>
      <c r="O151" s="1077"/>
      <c r="P151" s="1077"/>
      <c r="Q151" s="1077"/>
      <c r="R151" s="1553"/>
      <c r="S151" s="1077"/>
      <c r="T151" s="1077"/>
      <c r="U151" s="478"/>
      <c r="V151" s="1077"/>
      <c r="W151" s="1077"/>
      <c r="X151" s="1077"/>
      <c r="Y151" s="1077"/>
      <c r="Z151" s="1077"/>
      <c r="AA151" s="1549"/>
      <c r="AB151" s="500"/>
      <c r="AC151" s="500"/>
      <c r="AD151" s="500"/>
      <c r="AE151" s="500"/>
      <c r="AF151" s="1558">
        <v>11</v>
      </c>
    </row>
    <row r="152" spans="1:32" s="2212" customFormat="1" ht="11.5" customHeight="1">
      <c r="A152" s="909"/>
      <c r="B152" s="1553"/>
      <c r="C152" s="1553"/>
      <c r="D152" s="285"/>
      <c r="K152" s="1077"/>
      <c r="L152" s="1553"/>
      <c r="M152" s="1553"/>
      <c r="N152" s="1077"/>
      <c r="O152" s="1077"/>
      <c r="P152" s="1077"/>
      <c r="Q152" s="1077"/>
      <c r="R152" s="1553"/>
      <c r="S152" s="1077"/>
      <c r="T152" s="1077"/>
      <c r="U152" s="478"/>
      <c r="V152" s="1077"/>
      <c r="W152" s="1077"/>
      <c r="X152" s="1077"/>
      <c r="Y152" s="1077"/>
      <c r="Z152" s="1077"/>
      <c r="AA152" s="1549"/>
      <c r="AB152" s="500"/>
      <c r="AC152" s="500"/>
      <c r="AD152" s="500"/>
      <c r="AE152" s="500"/>
      <c r="AF152" s="1558">
        <v>11</v>
      </c>
    </row>
    <row r="153" spans="1:32" s="2212" customFormat="1" ht="11.5" customHeight="1">
      <c r="A153" s="909"/>
      <c r="B153" s="1553"/>
      <c r="C153" s="1553"/>
      <c r="D153" s="285"/>
      <c r="K153" s="1077"/>
      <c r="L153" s="1553"/>
      <c r="M153" s="1553"/>
      <c r="N153" s="1077"/>
      <c r="O153" s="1077"/>
      <c r="P153" s="1077"/>
      <c r="Q153" s="1077"/>
      <c r="R153" s="1553"/>
      <c r="S153" s="1077"/>
      <c r="T153" s="1077"/>
      <c r="U153" s="478"/>
      <c r="V153" s="1077"/>
      <c r="W153" s="1077"/>
      <c r="X153" s="1077"/>
      <c r="Y153" s="1077"/>
      <c r="Z153" s="1077"/>
      <c r="AA153" s="1549"/>
      <c r="AB153" s="500"/>
      <c r="AC153" s="500"/>
      <c r="AD153" s="500"/>
      <c r="AE153" s="500"/>
      <c r="AF153" s="1558">
        <v>11</v>
      </c>
    </row>
    <row r="154" spans="1:32" s="2212" customFormat="1" ht="11.5" customHeight="1">
      <c r="A154" s="909"/>
      <c r="B154" s="1553"/>
      <c r="C154" s="1553"/>
      <c r="D154" s="285"/>
      <c r="K154" s="1077"/>
      <c r="L154" s="1553"/>
      <c r="M154" s="1553"/>
      <c r="N154" s="1077"/>
      <c r="O154" s="1077"/>
      <c r="P154" s="1077"/>
      <c r="Q154" s="1077"/>
      <c r="R154" s="1553"/>
      <c r="S154" s="1077"/>
      <c r="T154" s="1077"/>
      <c r="U154" s="478"/>
      <c r="V154" s="1077"/>
      <c r="W154" s="1077"/>
      <c r="X154" s="1077"/>
      <c r="Y154" s="1077"/>
      <c r="Z154" s="1077"/>
      <c r="AA154" s="1549"/>
      <c r="AB154" s="500"/>
      <c r="AC154" s="500"/>
      <c r="AD154" s="500"/>
      <c r="AE154" s="500"/>
      <c r="AF154" s="1558">
        <v>11</v>
      </c>
    </row>
    <row r="155" spans="1:32" s="2212" customFormat="1" ht="11.5" customHeight="1">
      <c r="A155" s="909"/>
      <c r="B155" s="1553"/>
      <c r="C155" s="1553"/>
      <c r="D155" s="285"/>
      <c r="K155" s="1077"/>
      <c r="L155" s="1553"/>
      <c r="M155" s="1553"/>
      <c r="N155" s="1077"/>
      <c r="O155" s="1077"/>
      <c r="P155" s="1077"/>
      <c r="Q155" s="1077"/>
      <c r="R155" s="1553"/>
      <c r="S155" s="1077"/>
      <c r="T155" s="1077"/>
      <c r="U155" s="478"/>
      <c r="V155" s="1077"/>
      <c r="W155" s="1077"/>
      <c r="X155" s="1077"/>
      <c r="Y155" s="1077"/>
      <c r="Z155" s="1077"/>
      <c r="AA155" s="1549"/>
      <c r="AB155" s="500"/>
      <c r="AC155" s="500"/>
      <c r="AD155" s="500"/>
      <c r="AE155" s="500"/>
      <c r="AF155" s="1558">
        <v>11</v>
      </c>
    </row>
    <row r="156" spans="1:32" s="2212" customFormat="1" ht="11.5" customHeight="1">
      <c r="A156" s="909"/>
      <c r="B156" s="1553"/>
      <c r="C156" s="1553"/>
      <c r="D156" s="285"/>
      <c r="K156" s="1077"/>
      <c r="L156" s="1553"/>
      <c r="M156" s="1553"/>
      <c r="N156" s="1077"/>
      <c r="O156" s="1077"/>
      <c r="P156" s="1077"/>
      <c r="Q156" s="1077"/>
      <c r="R156" s="1553"/>
      <c r="S156" s="1077"/>
      <c r="T156" s="1077"/>
      <c r="U156" s="478"/>
      <c r="V156" s="1077"/>
      <c r="W156" s="1077"/>
      <c r="X156" s="1077"/>
      <c r="Y156" s="1077"/>
      <c r="Z156" s="1077"/>
      <c r="AA156" s="1549"/>
      <c r="AB156" s="500"/>
      <c r="AC156" s="500"/>
      <c r="AD156" s="500"/>
      <c r="AE156" s="500"/>
      <c r="AF156" s="1558">
        <v>11</v>
      </c>
    </row>
    <row r="157" spans="1:32" s="2212" customFormat="1" ht="11.5" customHeight="1">
      <c r="A157" s="909"/>
      <c r="B157" s="1553"/>
      <c r="C157" s="1553"/>
      <c r="D157" s="285"/>
      <c r="K157" s="1077"/>
      <c r="L157" s="1553"/>
      <c r="M157" s="1553"/>
      <c r="N157" s="1077"/>
      <c r="O157" s="1077"/>
      <c r="P157" s="1077"/>
      <c r="Q157" s="1077"/>
      <c r="R157" s="1553"/>
      <c r="S157" s="1077"/>
      <c r="T157" s="1077"/>
      <c r="U157" s="478"/>
      <c r="V157" s="1077"/>
      <c r="W157" s="1077"/>
      <c r="X157" s="1077"/>
      <c r="Y157" s="1077"/>
      <c r="Z157" s="1077"/>
      <c r="AA157" s="1549"/>
      <c r="AB157" s="500"/>
      <c r="AC157" s="500"/>
      <c r="AD157" s="500"/>
      <c r="AE157" s="500"/>
      <c r="AF157" s="1558">
        <v>11</v>
      </c>
    </row>
    <row r="158" spans="1:32" s="2212" customFormat="1" ht="11.5" customHeight="1">
      <c r="A158" s="909"/>
      <c r="B158" s="1553"/>
      <c r="C158" s="1553"/>
      <c r="D158" s="285"/>
      <c r="K158" s="1077"/>
      <c r="L158" s="1553"/>
      <c r="M158" s="1553"/>
      <c r="N158" s="1077"/>
      <c r="O158" s="1077"/>
      <c r="P158" s="1077"/>
      <c r="Q158" s="1077"/>
      <c r="R158" s="1553"/>
      <c r="S158" s="1077"/>
      <c r="T158" s="1077"/>
      <c r="U158" s="478"/>
      <c r="V158" s="1077"/>
      <c r="W158" s="1077"/>
      <c r="X158" s="1077"/>
      <c r="Y158" s="1077"/>
      <c r="Z158" s="1077"/>
      <c r="AA158" s="1549"/>
      <c r="AB158" s="500"/>
      <c r="AC158" s="500"/>
      <c r="AD158" s="500"/>
      <c r="AE158" s="500"/>
      <c r="AF158" s="1558">
        <v>11</v>
      </c>
    </row>
    <row r="159" spans="1:32" s="2212" customFormat="1" ht="11.5" customHeight="1">
      <c r="A159" s="909"/>
      <c r="B159" s="1553"/>
      <c r="C159" s="1553"/>
      <c r="D159" s="285"/>
      <c r="K159" s="1077"/>
      <c r="L159" s="1553"/>
      <c r="M159" s="1553"/>
      <c r="N159" s="1077"/>
      <c r="O159" s="1077"/>
      <c r="P159" s="1077"/>
      <c r="Q159" s="1077"/>
      <c r="R159" s="1553"/>
      <c r="S159" s="1077"/>
      <c r="T159" s="1077"/>
      <c r="U159" s="478"/>
      <c r="V159" s="1077"/>
      <c r="W159" s="1077"/>
      <c r="X159" s="1077"/>
      <c r="Y159" s="1077"/>
      <c r="Z159" s="1077"/>
      <c r="AA159" s="1549"/>
      <c r="AB159" s="500"/>
      <c r="AC159" s="500"/>
      <c r="AD159" s="500"/>
      <c r="AE159" s="500"/>
      <c r="AF159" s="1558">
        <v>11</v>
      </c>
    </row>
    <row r="160" spans="1:32" s="2212" customFormat="1" ht="11.5" customHeight="1">
      <c r="A160" s="909"/>
      <c r="B160" s="1553"/>
      <c r="C160" s="1553"/>
      <c r="D160" s="285"/>
      <c r="K160" s="1077"/>
      <c r="L160" s="1553"/>
      <c r="M160" s="1553"/>
      <c r="N160" s="1077"/>
      <c r="O160" s="1077"/>
      <c r="P160" s="1077"/>
      <c r="Q160" s="1077"/>
      <c r="R160" s="1553"/>
      <c r="S160" s="1077"/>
      <c r="T160" s="1077"/>
      <c r="U160" s="478"/>
      <c r="V160" s="1077"/>
      <c r="W160" s="1077"/>
      <c r="X160" s="1077"/>
      <c r="Y160" s="1077"/>
      <c r="Z160" s="1077"/>
      <c r="AA160" s="1549"/>
      <c r="AB160" s="500"/>
      <c r="AC160" s="500"/>
      <c r="AD160" s="500"/>
      <c r="AE160" s="500"/>
      <c r="AF160" s="1558">
        <v>11</v>
      </c>
    </row>
    <row r="161" spans="1:32" s="2212" customFormat="1" ht="11.5" customHeight="1">
      <c r="A161" s="909"/>
      <c r="B161" s="1553"/>
      <c r="C161" s="1553"/>
      <c r="D161" s="285"/>
      <c r="K161" s="1077"/>
      <c r="L161" s="1553"/>
      <c r="M161" s="1553"/>
      <c r="N161" s="1077"/>
      <c r="O161" s="1077"/>
      <c r="P161" s="1077"/>
      <c r="Q161" s="1077"/>
      <c r="R161" s="1553"/>
      <c r="S161" s="1077"/>
      <c r="T161" s="1077"/>
      <c r="U161" s="478"/>
      <c r="V161" s="1077"/>
      <c r="W161" s="1077"/>
      <c r="X161" s="1077"/>
      <c r="Y161" s="1077"/>
      <c r="Z161" s="1077"/>
      <c r="AA161" s="1549"/>
      <c r="AB161" s="500"/>
      <c r="AC161" s="500"/>
      <c r="AD161" s="500"/>
      <c r="AE161" s="500"/>
      <c r="AF161" s="1558">
        <v>11</v>
      </c>
    </row>
    <row r="162" spans="1:32" s="2212" customFormat="1" ht="11.5" customHeight="1">
      <c r="A162" s="909"/>
      <c r="B162" s="1553"/>
      <c r="C162" s="1553"/>
      <c r="D162" s="285"/>
      <c r="K162" s="1077"/>
      <c r="L162" s="1553"/>
      <c r="M162" s="1553"/>
      <c r="N162" s="1077"/>
      <c r="O162" s="1077"/>
      <c r="P162" s="1077"/>
      <c r="Q162" s="1077"/>
      <c r="R162" s="1553"/>
      <c r="S162" s="1077"/>
      <c r="T162" s="1077"/>
      <c r="U162" s="478"/>
      <c r="V162" s="1077"/>
      <c r="W162" s="1077"/>
      <c r="X162" s="1077"/>
      <c r="Y162" s="1077"/>
      <c r="Z162" s="1077"/>
      <c r="AA162" s="1549"/>
      <c r="AB162" s="500"/>
      <c r="AC162" s="500"/>
      <c r="AD162" s="500"/>
      <c r="AE162" s="500"/>
      <c r="AF162" s="1558">
        <v>11</v>
      </c>
    </row>
    <row r="163" spans="1:32" s="2212" customFormat="1" ht="11.5" customHeight="1">
      <c r="A163" s="909"/>
      <c r="B163" s="1553"/>
      <c r="C163" s="1553"/>
      <c r="D163" s="285"/>
      <c r="K163" s="1077"/>
      <c r="L163" s="1553"/>
      <c r="M163" s="1553"/>
      <c r="N163" s="1077"/>
      <c r="O163" s="1077"/>
      <c r="P163" s="1077"/>
      <c r="Q163" s="1077"/>
      <c r="R163" s="1553"/>
      <c r="S163" s="1077"/>
      <c r="T163" s="1077"/>
      <c r="U163" s="478"/>
      <c r="V163" s="1077"/>
      <c r="W163" s="1077"/>
      <c r="X163" s="1077"/>
      <c r="Y163" s="1077"/>
      <c r="Z163" s="1077"/>
      <c r="AA163" s="1549"/>
      <c r="AB163" s="500"/>
      <c r="AC163" s="500"/>
      <c r="AD163" s="500"/>
      <c r="AE163" s="500"/>
      <c r="AF163" s="1558">
        <v>11</v>
      </c>
    </row>
    <row r="164" spans="1:32" s="2212" customFormat="1" ht="11.5" customHeight="1">
      <c r="A164" s="909"/>
      <c r="B164" s="1553"/>
      <c r="C164" s="1553"/>
      <c r="D164" s="285"/>
      <c r="K164" s="1077"/>
      <c r="L164" s="1553"/>
      <c r="M164" s="1553"/>
      <c r="N164" s="1077"/>
      <c r="O164" s="1077"/>
      <c r="P164" s="1077"/>
      <c r="Q164" s="1077"/>
      <c r="R164" s="1553"/>
      <c r="S164" s="1077"/>
      <c r="T164" s="1077"/>
      <c r="U164" s="478"/>
      <c r="V164" s="1077"/>
      <c r="W164" s="1077"/>
      <c r="X164" s="1077"/>
      <c r="Y164" s="1077"/>
      <c r="Z164" s="1077"/>
      <c r="AA164" s="1549"/>
      <c r="AB164" s="500"/>
      <c r="AC164" s="500"/>
      <c r="AD164" s="500"/>
      <c r="AE164" s="500"/>
      <c r="AF164" s="1558">
        <v>11</v>
      </c>
    </row>
    <row r="165" spans="1:32" s="2212" customFormat="1" ht="11.5" customHeight="1">
      <c r="A165" s="909"/>
      <c r="B165" s="1553"/>
      <c r="C165" s="1553"/>
      <c r="D165" s="285"/>
      <c r="K165" s="1077"/>
      <c r="L165" s="1553"/>
      <c r="M165" s="1553"/>
      <c r="N165" s="1077"/>
      <c r="O165" s="1077"/>
      <c r="P165" s="1077"/>
      <c r="Q165" s="1077"/>
      <c r="R165" s="1553"/>
      <c r="S165" s="1077"/>
      <c r="T165" s="1077"/>
      <c r="U165" s="478"/>
      <c r="V165" s="1077"/>
      <c r="W165" s="1077"/>
      <c r="X165" s="1077"/>
      <c r="Y165" s="1077"/>
      <c r="Z165" s="1077"/>
      <c r="AA165" s="1549"/>
      <c r="AB165" s="500"/>
      <c r="AC165" s="500"/>
      <c r="AD165" s="500"/>
      <c r="AE165" s="500"/>
      <c r="AF165" s="1558">
        <v>11</v>
      </c>
    </row>
    <row r="166" spans="1:32" s="2212" customFormat="1" ht="11.5" customHeight="1">
      <c r="A166" s="909"/>
      <c r="B166" s="1553"/>
      <c r="C166" s="1553"/>
      <c r="D166" s="285"/>
      <c r="K166" s="1077"/>
      <c r="L166" s="1553"/>
      <c r="M166" s="1553"/>
      <c r="N166" s="1077"/>
      <c r="O166" s="1077"/>
      <c r="P166" s="1077"/>
      <c r="Q166" s="1077"/>
      <c r="R166" s="1553"/>
      <c r="S166" s="1077"/>
      <c r="T166" s="1077"/>
      <c r="U166" s="478"/>
      <c r="V166" s="1077"/>
      <c r="W166" s="1077"/>
      <c r="X166" s="1077"/>
      <c r="Y166" s="1077"/>
      <c r="Z166" s="1077"/>
      <c r="AA166" s="1549"/>
      <c r="AB166" s="500"/>
      <c r="AC166" s="500"/>
      <c r="AD166" s="500"/>
      <c r="AE166" s="500"/>
      <c r="AF166" s="1558">
        <v>11</v>
      </c>
    </row>
    <row r="167" spans="1:32" s="2212" customFormat="1" ht="11.5" customHeight="1">
      <c r="A167" s="909"/>
      <c r="B167" s="1553"/>
      <c r="C167" s="1553"/>
      <c r="D167" s="285"/>
      <c r="K167" s="1077"/>
      <c r="L167" s="1553"/>
      <c r="M167" s="1553"/>
      <c r="N167" s="1077"/>
      <c r="O167" s="1077"/>
      <c r="P167" s="1077"/>
      <c r="Q167" s="1077"/>
      <c r="R167" s="1553"/>
      <c r="S167" s="1077"/>
      <c r="T167" s="1077"/>
      <c r="U167" s="478"/>
      <c r="V167" s="1077"/>
      <c r="W167" s="1077"/>
      <c r="X167" s="1077"/>
      <c r="Y167" s="1077"/>
      <c r="Z167" s="1077"/>
      <c r="AA167" s="1549"/>
      <c r="AB167" s="500"/>
      <c r="AC167" s="500"/>
      <c r="AD167" s="500"/>
      <c r="AE167" s="500"/>
      <c r="AF167" s="1558">
        <v>11</v>
      </c>
    </row>
    <row r="168" spans="1:32" s="2212" customFormat="1" ht="11.5" customHeight="1">
      <c r="A168" s="909"/>
      <c r="B168" s="1553"/>
      <c r="C168" s="1553"/>
      <c r="D168" s="285"/>
      <c r="K168" s="1077"/>
      <c r="L168" s="1553"/>
      <c r="M168" s="1553"/>
      <c r="N168" s="1077"/>
      <c r="O168" s="1077"/>
      <c r="P168" s="1077"/>
      <c r="Q168" s="1077"/>
      <c r="R168" s="1553"/>
      <c r="S168" s="1077"/>
      <c r="T168" s="1077"/>
      <c r="U168" s="478"/>
      <c r="V168" s="1077"/>
      <c r="W168" s="1077"/>
      <c r="X168" s="1077"/>
      <c r="Y168" s="1077"/>
      <c r="Z168" s="1077"/>
      <c r="AA168" s="1549"/>
      <c r="AB168" s="500"/>
      <c r="AC168" s="500"/>
      <c r="AD168" s="500"/>
      <c r="AE168" s="500"/>
      <c r="AF168" s="1558">
        <v>11</v>
      </c>
    </row>
    <row r="169" spans="1:32" s="2212" customFormat="1" ht="11.5" customHeight="1">
      <c r="A169" s="909"/>
      <c r="B169" s="1553"/>
      <c r="C169" s="1553"/>
      <c r="D169" s="285"/>
      <c r="K169" s="1077"/>
      <c r="L169" s="1553"/>
      <c r="M169" s="1553"/>
      <c r="N169" s="1077"/>
      <c r="O169" s="1077"/>
      <c r="P169" s="1077"/>
      <c r="Q169" s="1077"/>
      <c r="R169" s="1553"/>
      <c r="S169" s="1077"/>
      <c r="T169" s="1077"/>
      <c r="U169" s="478"/>
      <c r="V169" s="1077"/>
      <c r="W169" s="1077"/>
      <c r="X169" s="1077"/>
      <c r="Y169" s="1077"/>
      <c r="Z169" s="1077"/>
      <c r="AA169" s="1549"/>
      <c r="AB169" s="500"/>
      <c r="AC169" s="500"/>
      <c r="AD169" s="500"/>
      <c r="AE169" s="500"/>
      <c r="AF169" s="1558">
        <v>11</v>
      </c>
    </row>
    <row r="170" spans="1:32" s="2212" customFormat="1" ht="11.5" customHeight="1">
      <c r="A170" s="909"/>
      <c r="B170" s="1553"/>
      <c r="C170" s="1553"/>
      <c r="D170" s="285"/>
      <c r="K170" s="1077"/>
      <c r="L170" s="1553"/>
      <c r="M170" s="1553"/>
      <c r="N170" s="1077"/>
      <c r="O170" s="1077"/>
      <c r="P170" s="1077"/>
      <c r="Q170" s="1077"/>
      <c r="R170" s="1553"/>
      <c r="S170" s="1077"/>
      <c r="T170" s="1077"/>
      <c r="U170" s="478"/>
      <c r="V170" s="1077"/>
      <c r="W170" s="1077"/>
      <c r="X170" s="1077"/>
      <c r="Y170" s="1077"/>
      <c r="Z170" s="1077"/>
      <c r="AA170" s="1549"/>
      <c r="AB170" s="500"/>
      <c r="AC170" s="500"/>
      <c r="AD170" s="500"/>
      <c r="AE170" s="500"/>
      <c r="AF170" s="1558">
        <v>11</v>
      </c>
    </row>
    <row r="171" spans="1:32" s="2212" customFormat="1" ht="11.5" customHeight="1">
      <c r="A171" s="909"/>
      <c r="B171" s="1553"/>
      <c r="C171" s="1553"/>
      <c r="D171" s="285"/>
      <c r="K171" s="1077"/>
      <c r="L171" s="1553"/>
      <c r="M171" s="1553"/>
      <c r="N171" s="1077"/>
      <c r="O171" s="1077"/>
      <c r="P171" s="1077"/>
      <c r="Q171" s="1077"/>
      <c r="R171" s="1553"/>
      <c r="S171" s="1077"/>
      <c r="T171" s="1077"/>
      <c r="U171" s="478"/>
      <c r="V171" s="1077"/>
      <c r="W171" s="1077"/>
      <c r="X171" s="1077"/>
      <c r="Y171" s="1077"/>
      <c r="Z171" s="1077"/>
      <c r="AA171" s="1549"/>
      <c r="AB171" s="500"/>
      <c r="AC171" s="500"/>
      <c r="AD171" s="500"/>
      <c r="AE171" s="500"/>
      <c r="AF171" s="1558">
        <v>11</v>
      </c>
    </row>
    <row r="172" spans="1:32" s="2212" customFormat="1" ht="11.5" customHeight="1">
      <c r="A172" s="909"/>
      <c r="B172" s="1553"/>
      <c r="C172" s="1553"/>
      <c r="D172" s="285"/>
      <c r="K172" s="1077"/>
      <c r="L172" s="1553"/>
      <c r="M172" s="1553"/>
      <c r="N172" s="1077"/>
      <c r="O172" s="1077"/>
      <c r="P172" s="1077"/>
      <c r="Q172" s="1077"/>
      <c r="R172" s="1553"/>
      <c r="S172" s="1077"/>
      <c r="T172" s="1077"/>
      <c r="U172" s="478"/>
      <c r="V172" s="1077"/>
      <c r="W172" s="1077"/>
      <c r="X172" s="1077"/>
      <c r="Y172" s="1077"/>
      <c r="Z172" s="1077"/>
      <c r="AA172" s="1549"/>
      <c r="AB172" s="500"/>
      <c r="AC172" s="500"/>
      <c r="AD172" s="500"/>
      <c r="AE172" s="500"/>
      <c r="AF172" s="1558">
        <v>11</v>
      </c>
    </row>
    <row r="173" spans="1:32" s="2212" customFormat="1" ht="11.5" customHeight="1">
      <c r="A173" s="909"/>
      <c r="B173" s="1553"/>
      <c r="C173" s="1553"/>
      <c r="D173" s="285"/>
      <c r="K173" s="1077"/>
      <c r="L173" s="1553"/>
      <c r="M173" s="1553"/>
      <c r="N173" s="1077"/>
      <c r="O173" s="1077"/>
      <c r="P173" s="1077"/>
      <c r="Q173" s="1077"/>
      <c r="R173" s="1553"/>
      <c r="S173" s="1077"/>
      <c r="T173" s="1077"/>
      <c r="U173" s="478"/>
      <c r="V173" s="1077"/>
      <c r="W173" s="1077"/>
      <c r="X173" s="1077"/>
      <c r="Y173" s="1077"/>
      <c r="Z173" s="1077"/>
      <c r="AA173" s="1549"/>
      <c r="AB173" s="500"/>
      <c r="AC173" s="500"/>
      <c r="AD173" s="500"/>
      <c r="AE173" s="500"/>
      <c r="AF173" s="1558">
        <v>11</v>
      </c>
    </row>
    <row r="174" spans="1:32" s="2212" customFormat="1" ht="11.5" customHeight="1">
      <c r="A174" s="909"/>
      <c r="B174" s="1553"/>
      <c r="C174" s="1553"/>
      <c r="D174" s="285"/>
      <c r="K174" s="1077"/>
      <c r="L174" s="1553"/>
      <c r="M174" s="1553"/>
      <c r="N174" s="1077"/>
      <c r="O174" s="1077"/>
      <c r="P174" s="1077"/>
      <c r="Q174" s="1077"/>
      <c r="R174" s="1553"/>
      <c r="S174" s="1077"/>
      <c r="T174" s="1077"/>
      <c r="U174" s="478"/>
      <c r="V174" s="1077"/>
      <c r="W174" s="1077"/>
      <c r="X174" s="1077"/>
      <c r="Y174" s="1077"/>
      <c r="Z174" s="1077"/>
      <c r="AA174" s="1549"/>
      <c r="AB174" s="500"/>
      <c r="AC174" s="500"/>
      <c r="AD174" s="500"/>
      <c r="AE174" s="500"/>
      <c r="AF174" s="1558">
        <v>11</v>
      </c>
    </row>
    <row r="175" spans="1:32" s="2212" customFormat="1" ht="11.5" customHeight="1">
      <c r="A175" s="909"/>
      <c r="B175" s="1553"/>
      <c r="C175" s="1553"/>
      <c r="D175" s="285"/>
      <c r="K175" s="1077"/>
      <c r="L175" s="1553"/>
      <c r="M175" s="1553"/>
      <c r="N175" s="1077"/>
      <c r="O175" s="1077"/>
      <c r="P175" s="1077"/>
      <c r="Q175" s="1077"/>
      <c r="R175" s="1553"/>
      <c r="S175" s="1077"/>
      <c r="T175" s="1077"/>
      <c r="U175" s="478"/>
      <c r="V175" s="1077"/>
      <c r="W175" s="1077"/>
      <c r="X175" s="1077"/>
      <c r="Y175" s="1077"/>
      <c r="Z175" s="1077"/>
      <c r="AA175" s="1549"/>
      <c r="AB175" s="500"/>
      <c r="AC175" s="500"/>
      <c r="AD175" s="500"/>
      <c r="AE175" s="500"/>
      <c r="AF175" s="1558">
        <v>11</v>
      </c>
    </row>
    <row r="176" spans="1:32" s="2212" customFormat="1" ht="11.5" customHeight="1">
      <c r="A176" s="909"/>
      <c r="B176" s="1553"/>
      <c r="C176" s="1553"/>
      <c r="D176" s="285"/>
      <c r="K176" s="1077"/>
      <c r="L176" s="1553"/>
      <c r="M176" s="1553"/>
      <c r="N176" s="1077"/>
      <c r="O176" s="1077"/>
      <c r="P176" s="1077"/>
      <c r="Q176" s="1077"/>
      <c r="R176" s="1553"/>
      <c r="S176" s="1077"/>
      <c r="T176" s="1077"/>
      <c r="U176" s="478"/>
      <c r="V176" s="1077"/>
      <c r="W176" s="1077"/>
      <c r="X176" s="1077"/>
      <c r="Y176" s="1077"/>
      <c r="Z176" s="1077"/>
      <c r="AA176" s="1549"/>
      <c r="AB176" s="500"/>
      <c r="AC176" s="500"/>
      <c r="AD176" s="500"/>
      <c r="AE176" s="500"/>
      <c r="AF176" s="1558">
        <v>11</v>
      </c>
    </row>
    <row r="177" spans="1:32" s="2212" customFormat="1" ht="11.5" customHeight="1">
      <c r="A177" s="909"/>
      <c r="B177" s="1553"/>
      <c r="C177" s="1553"/>
      <c r="D177" s="285"/>
      <c r="K177" s="1077"/>
      <c r="L177" s="1553"/>
      <c r="M177" s="1553"/>
      <c r="N177" s="1077"/>
      <c r="O177" s="1077"/>
      <c r="P177" s="1077"/>
      <c r="Q177" s="1077"/>
      <c r="R177" s="1553"/>
      <c r="S177" s="1077"/>
      <c r="T177" s="1077"/>
      <c r="U177" s="478"/>
      <c r="V177" s="1077"/>
      <c r="W177" s="1077"/>
      <c r="X177" s="1077"/>
      <c r="Y177" s="1077"/>
      <c r="Z177" s="1077"/>
      <c r="AA177" s="1549"/>
      <c r="AB177" s="500"/>
      <c r="AC177" s="500"/>
      <c r="AD177" s="500"/>
      <c r="AE177" s="500"/>
      <c r="AF177" s="1558">
        <v>11</v>
      </c>
    </row>
    <row r="178" spans="1:32" s="2212" customFormat="1" ht="11.5" customHeight="1">
      <c r="A178" s="909"/>
      <c r="B178" s="1553"/>
      <c r="C178" s="1553"/>
      <c r="D178" s="285"/>
      <c r="K178" s="1077"/>
      <c r="L178" s="1553"/>
      <c r="M178" s="1553"/>
      <c r="N178" s="1077"/>
      <c r="O178" s="1077"/>
      <c r="P178" s="1077"/>
      <c r="Q178" s="1077"/>
      <c r="R178" s="1553"/>
      <c r="S178" s="1077"/>
      <c r="T178" s="1077"/>
      <c r="U178" s="478"/>
      <c r="V178" s="1077"/>
      <c r="W178" s="1077"/>
      <c r="X178" s="1077"/>
      <c r="Y178" s="1077"/>
      <c r="Z178" s="1077"/>
      <c r="AA178" s="1549"/>
      <c r="AB178" s="500"/>
      <c r="AC178" s="500"/>
      <c r="AD178" s="500"/>
      <c r="AE178" s="500"/>
      <c r="AF178" s="1558">
        <v>11</v>
      </c>
    </row>
    <row r="179" spans="1:32" s="2212" customFormat="1" ht="11.5" customHeight="1">
      <c r="A179" s="909"/>
      <c r="B179" s="1553"/>
      <c r="C179" s="1553"/>
      <c r="D179" s="285"/>
      <c r="K179" s="1077"/>
      <c r="L179" s="1553"/>
      <c r="M179" s="1553"/>
      <c r="N179" s="1077"/>
      <c r="O179" s="1077"/>
      <c r="P179" s="1077"/>
      <c r="Q179" s="1077"/>
      <c r="R179" s="1553"/>
      <c r="S179" s="1077"/>
      <c r="T179" s="1077"/>
      <c r="U179" s="478"/>
      <c r="V179" s="1077"/>
      <c r="W179" s="1077"/>
      <c r="X179" s="1077"/>
      <c r="Y179" s="1077"/>
      <c r="Z179" s="1077"/>
      <c r="AA179" s="1549"/>
      <c r="AB179" s="500"/>
      <c r="AC179" s="500"/>
      <c r="AD179" s="500"/>
      <c r="AE179" s="500"/>
      <c r="AF179" s="1558">
        <v>11</v>
      </c>
    </row>
    <row r="180" spans="1:32" s="2212" customFormat="1" ht="11.5" customHeight="1">
      <c r="A180" s="909"/>
      <c r="B180" s="1553"/>
      <c r="C180" s="1553"/>
      <c r="D180" s="285"/>
      <c r="K180" s="1077"/>
      <c r="L180" s="1553"/>
      <c r="M180" s="1553"/>
      <c r="N180" s="1077"/>
      <c r="O180" s="1077"/>
      <c r="P180" s="1077"/>
      <c r="Q180" s="1077"/>
      <c r="R180" s="1553"/>
      <c r="S180" s="1077"/>
      <c r="T180" s="1077"/>
      <c r="U180" s="478"/>
      <c r="V180" s="1077"/>
      <c r="W180" s="1077"/>
      <c r="X180" s="1077"/>
      <c r="Y180" s="1077"/>
      <c r="Z180" s="1077"/>
      <c r="AA180" s="1549"/>
      <c r="AB180" s="500"/>
      <c r="AC180" s="500"/>
      <c r="AD180" s="500"/>
      <c r="AE180" s="500"/>
      <c r="AF180" s="1558">
        <v>11</v>
      </c>
    </row>
    <row r="181" spans="1:32" s="2212" customFormat="1" ht="11.5" customHeight="1">
      <c r="A181" s="909"/>
      <c r="B181" s="1553"/>
      <c r="C181" s="1553"/>
      <c r="D181" s="285"/>
      <c r="K181" s="1077"/>
      <c r="L181" s="1553"/>
      <c r="M181" s="1553"/>
      <c r="N181" s="1077"/>
      <c r="O181" s="1077"/>
      <c r="P181" s="1077"/>
      <c r="Q181" s="1077"/>
      <c r="R181" s="1553"/>
      <c r="S181" s="1077"/>
      <c r="T181" s="1077"/>
      <c r="U181" s="478"/>
      <c r="V181" s="1077"/>
      <c r="W181" s="1077"/>
      <c r="X181" s="1077"/>
      <c r="Y181" s="1077"/>
      <c r="Z181" s="1077"/>
      <c r="AA181" s="1549"/>
      <c r="AB181" s="500"/>
      <c r="AC181" s="500"/>
      <c r="AD181" s="500"/>
      <c r="AE181" s="500"/>
      <c r="AF181" s="1558">
        <v>11</v>
      </c>
    </row>
    <row r="182" spans="1:32" s="2212" customFormat="1" ht="11.5" customHeight="1">
      <c r="A182" s="909"/>
      <c r="B182" s="1553"/>
      <c r="C182" s="1553"/>
      <c r="D182" s="285"/>
      <c r="K182" s="1077"/>
      <c r="L182" s="1553"/>
      <c r="M182" s="1553"/>
      <c r="N182" s="1077"/>
      <c r="O182" s="1077"/>
      <c r="P182" s="1077"/>
      <c r="Q182" s="1077"/>
      <c r="R182" s="1553"/>
      <c r="S182" s="1077"/>
      <c r="T182" s="1077"/>
      <c r="U182" s="478"/>
      <c r="V182" s="1077"/>
      <c r="W182" s="1077"/>
      <c r="X182" s="1077"/>
      <c r="Y182" s="1077"/>
      <c r="Z182" s="1077"/>
      <c r="AA182" s="1549"/>
      <c r="AB182" s="500"/>
      <c r="AC182" s="500"/>
      <c r="AD182" s="500"/>
      <c r="AE182" s="500"/>
      <c r="AF182" s="1558">
        <v>11</v>
      </c>
    </row>
    <row r="183" spans="1:32" s="2212" customFormat="1" ht="11.5" customHeight="1">
      <c r="A183" s="909"/>
      <c r="B183" s="1553"/>
      <c r="C183" s="1553"/>
      <c r="D183" s="285"/>
      <c r="K183" s="1077"/>
      <c r="L183" s="1553"/>
      <c r="M183" s="1553"/>
      <c r="N183" s="1077"/>
      <c r="O183" s="1077"/>
      <c r="P183" s="1077"/>
      <c r="Q183" s="1077"/>
      <c r="R183" s="1553"/>
      <c r="S183" s="1077"/>
      <c r="T183" s="1077"/>
      <c r="U183" s="478"/>
      <c r="V183" s="1077"/>
      <c r="W183" s="1077"/>
      <c r="X183" s="1077"/>
      <c r="Y183" s="1077"/>
      <c r="Z183" s="1077"/>
      <c r="AA183" s="1549"/>
      <c r="AB183" s="500"/>
      <c r="AC183" s="500"/>
      <c r="AD183" s="500"/>
      <c r="AE183" s="500"/>
      <c r="AF183" s="1558">
        <v>11</v>
      </c>
    </row>
    <row r="184" spans="1:32" s="2212" customFormat="1" ht="11.5" customHeight="1">
      <c r="A184" s="909"/>
      <c r="B184" s="1553"/>
      <c r="C184" s="1553"/>
      <c r="D184" s="285"/>
      <c r="K184" s="1077"/>
      <c r="L184" s="1553"/>
      <c r="M184" s="1553"/>
      <c r="N184" s="1077"/>
      <c r="O184" s="1077"/>
      <c r="P184" s="1077"/>
      <c r="Q184" s="1077"/>
      <c r="R184" s="1553"/>
      <c r="S184" s="1077"/>
      <c r="T184" s="1077"/>
      <c r="U184" s="478"/>
      <c r="V184" s="1077"/>
      <c r="W184" s="1077"/>
      <c r="X184" s="1077"/>
      <c r="Y184" s="1077"/>
      <c r="Z184" s="1077"/>
      <c r="AA184" s="1549"/>
      <c r="AB184" s="500"/>
      <c r="AC184" s="500"/>
      <c r="AD184" s="500"/>
      <c r="AE184" s="500"/>
      <c r="AF184" s="1558">
        <v>11</v>
      </c>
    </row>
    <row r="185" spans="1:32" s="2212" customFormat="1" ht="11.5" customHeight="1">
      <c r="A185" s="909"/>
      <c r="B185" s="1553"/>
      <c r="C185" s="1553"/>
      <c r="D185" s="285"/>
      <c r="K185" s="1077"/>
      <c r="L185" s="1553"/>
      <c r="M185" s="1553"/>
      <c r="N185" s="1077"/>
      <c r="O185" s="1077"/>
      <c r="P185" s="1077"/>
      <c r="Q185" s="1077"/>
      <c r="R185" s="1553"/>
      <c r="S185" s="1077"/>
      <c r="T185" s="1077"/>
      <c r="U185" s="478"/>
      <c r="V185" s="1077"/>
      <c r="W185" s="1077"/>
      <c r="X185" s="1077"/>
      <c r="Y185" s="1077"/>
      <c r="Z185" s="1077"/>
      <c r="AA185" s="1549"/>
      <c r="AB185" s="500"/>
      <c r="AC185" s="500"/>
      <c r="AD185" s="500"/>
      <c r="AE185" s="500"/>
      <c r="AF185" s="1558">
        <v>11</v>
      </c>
    </row>
    <row r="186" spans="1:32" s="2212" customFormat="1" ht="11.5" customHeight="1">
      <c r="A186" s="909"/>
      <c r="B186" s="1553"/>
      <c r="C186" s="1553"/>
      <c r="D186" s="285"/>
      <c r="K186" s="1077"/>
      <c r="L186" s="1553"/>
      <c r="M186" s="1553"/>
      <c r="N186" s="1077"/>
      <c r="O186" s="1077"/>
      <c r="P186" s="1077"/>
      <c r="Q186" s="1077"/>
      <c r="R186" s="1553"/>
      <c r="S186" s="1077"/>
      <c r="T186" s="1077"/>
      <c r="U186" s="478"/>
      <c r="V186" s="1077"/>
      <c r="W186" s="1077"/>
      <c r="X186" s="1077"/>
      <c r="Y186" s="1077"/>
      <c r="Z186" s="1077"/>
      <c r="AA186" s="1549"/>
      <c r="AB186" s="500"/>
      <c r="AC186" s="500"/>
      <c r="AD186" s="500"/>
      <c r="AE186" s="500"/>
      <c r="AF186" s="1558">
        <v>11</v>
      </c>
    </row>
    <row r="187" spans="1:32" s="2212" customFormat="1" ht="11.5" customHeight="1">
      <c r="A187" s="909"/>
      <c r="B187" s="1553"/>
      <c r="C187" s="1553"/>
      <c r="D187" s="285"/>
      <c r="K187" s="1077"/>
      <c r="L187" s="1553"/>
      <c r="M187" s="1553"/>
      <c r="N187" s="1077"/>
      <c r="O187" s="1077"/>
      <c r="P187" s="1077"/>
      <c r="Q187" s="1077"/>
      <c r="R187" s="1553"/>
      <c r="S187" s="1077"/>
      <c r="T187" s="1077"/>
      <c r="U187" s="478"/>
      <c r="V187" s="1077"/>
      <c r="W187" s="1077"/>
      <c r="X187" s="1077"/>
      <c r="Y187" s="1077"/>
      <c r="Z187" s="1077"/>
      <c r="AA187" s="1549"/>
      <c r="AB187" s="500"/>
      <c r="AC187" s="500"/>
      <c r="AD187" s="500"/>
      <c r="AE187" s="500"/>
      <c r="AF187" s="1558">
        <v>11</v>
      </c>
    </row>
    <row r="188" spans="1:32" s="2212" customFormat="1" ht="11.5" customHeight="1">
      <c r="A188" s="909"/>
      <c r="B188" s="1553"/>
      <c r="C188" s="1553"/>
      <c r="D188" s="285"/>
      <c r="K188" s="1077"/>
      <c r="L188" s="1553"/>
      <c r="M188" s="1553"/>
      <c r="N188" s="1077"/>
      <c r="O188" s="1077"/>
      <c r="P188" s="1077"/>
      <c r="Q188" s="1077"/>
      <c r="R188" s="1553"/>
      <c r="S188" s="1077"/>
      <c r="T188" s="1077"/>
      <c r="U188" s="478"/>
      <c r="V188" s="1077"/>
      <c r="W188" s="1077"/>
      <c r="X188" s="1077"/>
      <c r="Y188" s="1077"/>
      <c r="Z188" s="1077"/>
      <c r="AA188" s="1549"/>
      <c r="AB188" s="500"/>
      <c r="AC188" s="500"/>
      <c r="AD188" s="500"/>
      <c r="AE188" s="500"/>
      <c r="AF188" s="1558">
        <v>11</v>
      </c>
    </row>
    <row r="189" spans="1:32" s="2212" customFormat="1" ht="11.5" customHeight="1">
      <c r="A189" s="909"/>
      <c r="B189" s="1553"/>
      <c r="C189" s="1553"/>
      <c r="D189" s="285"/>
      <c r="K189" s="1077"/>
      <c r="L189" s="1553"/>
      <c r="M189" s="1553"/>
      <c r="N189" s="1077"/>
      <c r="O189" s="1077"/>
      <c r="P189" s="1077"/>
      <c r="Q189" s="1077"/>
      <c r="R189" s="1553"/>
      <c r="S189" s="1077"/>
      <c r="T189" s="1077"/>
      <c r="U189" s="478"/>
      <c r="V189" s="1077"/>
      <c r="W189" s="1077"/>
      <c r="X189" s="1077"/>
      <c r="Y189" s="1077"/>
      <c r="Z189" s="1077"/>
      <c r="AA189" s="1549"/>
      <c r="AB189" s="500"/>
      <c r="AC189" s="500"/>
      <c r="AD189" s="500"/>
      <c r="AE189" s="500"/>
      <c r="AF189" s="1558">
        <v>11</v>
      </c>
    </row>
    <row r="190" spans="1:32" s="2212" customFormat="1" ht="11.5" customHeight="1">
      <c r="A190" s="909"/>
      <c r="B190" s="1553"/>
      <c r="C190" s="1553"/>
      <c r="D190" s="285"/>
      <c r="K190" s="1077"/>
      <c r="L190" s="1553"/>
      <c r="M190" s="1553"/>
      <c r="N190" s="1077"/>
      <c r="O190" s="1077"/>
      <c r="P190" s="1077"/>
      <c r="Q190" s="1077"/>
      <c r="R190" s="1553"/>
      <c r="S190" s="1077"/>
      <c r="T190" s="1077"/>
      <c r="U190" s="478"/>
      <c r="V190" s="1077"/>
      <c r="W190" s="1077"/>
      <c r="X190" s="1077"/>
      <c r="Y190" s="1077"/>
      <c r="Z190" s="1077"/>
      <c r="AA190" s="1549"/>
      <c r="AB190" s="500"/>
      <c r="AC190" s="500"/>
      <c r="AD190" s="500"/>
      <c r="AE190" s="500"/>
      <c r="AF190" s="1558">
        <v>11</v>
      </c>
    </row>
    <row r="191" spans="1:32" s="2212" customFormat="1" ht="11.5" customHeight="1">
      <c r="A191" s="909"/>
      <c r="B191" s="1553"/>
      <c r="C191" s="1553"/>
      <c r="D191" s="285"/>
      <c r="K191" s="1077"/>
      <c r="L191" s="1553"/>
      <c r="M191" s="1553"/>
      <c r="N191" s="1077"/>
      <c r="O191" s="1077"/>
      <c r="P191" s="1077"/>
      <c r="Q191" s="1077"/>
      <c r="R191" s="1553"/>
      <c r="S191" s="1077"/>
      <c r="T191" s="1077"/>
      <c r="U191" s="478"/>
      <c r="V191" s="1077"/>
      <c r="W191" s="1077"/>
      <c r="X191" s="1077"/>
      <c r="Y191" s="1077"/>
      <c r="Z191" s="1077"/>
      <c r="AA191" s="1549"/>
      <c r="AB191" s="500"/>
      <c r="AC191" s="500"/>
      <c r="AD191" s="500"/>
      <c r="AE191" s="500"/>
      <c r="AF191" s="1558">
        <v>11</v>
      </c>
    </row>
    <row r="192" spans="1:32" s="2212" customFormat="1" ht="11.5" customHeight="1">
      <c r="A192" s="909"/>
      <c r="B192" s="1553"/>
      <c r="C192" s="1553"/>
      <c r="D192" s="285"/>
      <c r="K192" s="1077"/>
      <c r="L192" s="1553"/>
      <c r="M192" s="1553"/>
      <c r="N192" s="1077"/>
      <c r="O192" s="1077"/>
      <c r="P192" s="1077"/>
      <c r="Q192" s="1077"/>
      <c r="R192" s="1553"/>
      <c r="S192" s="1077"/>
      <c r="T192" s="1077"/>
      <c r="U192" s="478"/>
      <c r="V192" s="1077"/>
      <c r="W192" s="1077"/>
      <c r="X192" s="1077"/>
      <c r="Y192" s="1077"/>
      <c r="Z192" s="1077"/>
      <c r="AA192" s="1549"/>
      <c r="AB192" s="500"/>
      <c r="AC192" s="500"/>
      <c r="AD192" s="500"/>
      <c r="AE192" s="500"/>
      <c r="AF192" s="1558">
        <v>11</v>
      </c>
    </row>
    <row r="193" spans="1:32" s="2212" customFormat="1" ht="11.5" customHeight="1">
      <c r="A193" s="909"/>
      <c r="B193" s="1553"/>
      <c r="C193" s="1553"/>
      <c r="D193" s="285"/>
      <c r="K193" s="1077"/>
      <c r="L193" s="1553"/>
      <c r="M193" s="1553"/>
      <c r="N193" s="1077"/>
      <c r="O193" s="1077"/>
      <c r="P193" s="1077"/>
      <c r="Q193" s="1077"/>
      <c r="R193" s="1553"/>
      <c r="S193" s="1077"/>
      <c r="T193" s="1077"/>
      <c r="U193" s="478"/>
      <c r="V193" s="1077"/>
      <c r="W193" s="1077"/>
      <c r="X193" s="1077"/>
      <c r="Y193" s="1077"/>
      <c r="Z193" s="1077"/>
      <c r="AA193" s="1549"/>
      <c r="AB193" s="500"/>
      <c r="AC193" s="500"/>
      <c r="AD193" s="500"/>
      <c r="AE193" s="500"/>
      <c r="AF193" s="1558">
        <v>11</v>
      </c>
    </row>
    <row r="194" spans="1:32" s="2212" customFormat="1" ht="11.5" customHeight="1">
      <c r="A194" s="909"/>
      <c r="B194" s="1553"/>
      <c r="C194" s="1553"/>
      <c r="D194" s="285"/>
      <c r="K194" s="1077"/>
      <c r="L194" s="1553"/>
      <c r="M194" s="1553"/>
      <c r="N194" s="1077"/>
      <c r="O194" s="1077"/>
      <c r="P194" s="1077"/>
      <c r="Q194" s="1077"/>
      <c r="R194" s="1553"/>
      <c r="S194" s="1077"/>
      <c r="T194" s="1077"/>
      <c r="U194" s="478"/>
      <c r="V194" s="1077"/>
      <c r="W194" s="1077"/>
      <c r="X194" s="1077"/>
      <c r="Y194" s="1077"/>
      <c r="Z194" s="1077"/>
      <c r="AA194" s="1549"/>
      <c r="AB194" s="500"/>
      <c r="AC194" s="500"/>
      <c r="AD194" s="500"/>
      <c r="AE194" s="500"/>
      <c r="AF194" s="1558">
        <v>11</v>
      </c>
    </row>
    <row r="195" spans="1:32" s="2212" customFormat="1" ht="11.5" customHeight="1">
      <c r="A195" s="909"/>
      <c r="B195" s="1553"/>
      <c r="C195" s="1553"/>
      <c r="D195" s="285"/>
      <c r="K195" s="1077"/>
      <c r="L195" s="1553"/>
      <c r="M195" s="1553"/>
      <c r="N195" s="1077"/>
      <c r="O195" s="1077"/>
      <c r="P195" s="1077"/>
      <c r="Q195" s="1077"/>
      <c r="R195" s="1553"/>
      <c r="S195" s="1077"/>
      <c r="T195" s="1077"/>
      <c r="U195" s="478"/>
      <c r="V195" s="1077"/>
      <c r="W195" s="1077"/>
      <c r="X195" s="1077"/>
      <c r="Y195" s="1077"/>
      <c r="Z195" s="1077"/>
      <c r="AA195" s="1549"/>
      <c r="AB195" s="500"/>
      <c r="AC195" s="500"/>
      <c r="AD195" s="500"/>
      <c r="AE195" s="500"/>
      <c r="AF195" s="1558">
        <v>11</v>
      </c>
    </row>
    <row r="196" spans="1:32" ht="11.5" customHeight="1">
      <c r="AF196" s="1548">
        <v>11</v>
      </c>
    </row>
    <row r="197" spans="1:32" ht="11.5" customHeight="1">
      <c r="AF197" s="1548">
        <v>11</v>
      </c>
    </row>
    <row r="198" spans="1:32" ht="11.5" customHeight="1">
      <c r="AF198" s="1548">
        <v>11</v>
      </c>
    </row>
    <row r="199" spans="1:32" ht="11.5" customHeight="1">
      <c r="A199" s="912"/>
      <c r="B199" s="1548"/>
      <c r="D199" s="1548"/>
      <c r="K199" s="1548"/>
      <c r="N199" s="1548"/>
      <c r="O199" s="1548"/>
      <c r="P199" s="1548"/>
      <c r="Q199" s="1548"/>
      <c r="S199" s="1548"/>
      <c r="T199" s="1548"/>
      <c r="U199" s="1548"/>
      <c r="V199" s="1548"/>
      <c r="W199" s="1548"/>
      <c r="X199" s="1548"/>
      <c r="Y199" s="1548"/>
      <c r="Z199" s="1548"/>
      <c r="AA199" s="1548"/>
      <c r="AB199" s="1548"/>
      <c r="AC199" s="1548"/>
      <c r="AD199" s="1548"/>
      <c r="AE199" s="1548"/>
      <c r="AF199" s="1548">
        <v>11</v>
      </c>
    </row>
    <row r="200" spans="1:32" ht="11.5" customHeight="1">
      <c r="A200" s="912"/>
      <c r="B200" s="1548"/>
      <c r="D200" s="1548"/>
      <c r="K200" s="1548"/>
      <c r="N200" s="1548"/>
      <c r="O200" s="1548"/>
      <c r="P200" s="1548"/>
      <c r="Q200" s="1548"/>
      <c r="S200" s="1548"/>
      <c r="T200" s="1548"/>
      <c r="U200" s="1548"/>
      <c r="V200" s="1548"/>
      <c r="W200" s="1548"/>
      <c r="X200" s="1548"/>
      <c r="Y200" s="1548"/>
      <c r="Z200" s="1548"/>
      <c r="AA200" s="1548"/>
      <c r="AB200" s="1548"/>
      <c r="AC200" s="1548"/>
      <c r="AD200" s="1548"/>
      <c r="AE200" s="1548"/>
      <c r="AF200" s="1548">
        <v>11</v>
      </c>
    </row>
    <row r="201" spans="1:32" ht="11.5" customHeight="1">
      <c r="A201" s="912"/>
      <c r="B201" s="1548"/>
      <c r="D201" s="1548"/>
      <c r="K201" s="1548"/>
      <c r="N201" s="1548"/>
      <c r="O201" s="1548"/>
      <c r="P201" s="1548"/>
      <c r="Q201" s="1548"/>
      <c r="S201" s="1548"/>
      <c r="T201" s="1548"/>
      <c r="U201" s="1548"/>
      <c r="V201" s="1548"/>
      <c r="W201" s="1548"/>
      <c r="X201" s="1548"/>
      <c r="Y201" s="1548"/>
      <c r="Z201" s="1548"/>
      <c r="AA201" s="1548"/>
      <c r="AB201" s="1548"/>
      <c r="AC201" s="1548"/>
      <c r="AD201" s="1548"/>
      <c r="AE201" s="1548"/>
      <c r="AF201" s="1548">
        <v>11</v>
      </c>
    </row>
    <row r="202" spans="1:32" ht="11.5" customHeight="1">
      <c r="A202" s="912"/>
      <c r="B202" s="1548"/>
      <c r="D202" s="1548"/>
      <c r="K202" s="1548"/>
      <c r="N202" s="1548"/>
      <c r="O202" s="1548"/>
      <c r="P202" s="1548"/>
      <c r="Q202" s="1548"/>
      <c r="S202" s="1548"/>
      <c r="T202" s="1548"/>
      <c r="U202" s="1548"/>
      <c r="V202" s="1548"/>
      <c r="W202" s="1548"/>
      <c r="X202" s="1548"/>
      <c r="Y202" s="1548"/>
      <c r="Z202" s="1548"/>
      <c r="AA202" s="1548"/>
      <c r="AB202" s="1548"/>
      <c r="AC202" s="1548"/>
      <c r="AD202" s="1548"/>
      <c r="AE202" s="1548"/>
      <c r="AF202" s="1548">
        <v>11</v>
      </c>
    </row>
    <row r="203" spans="1:32" ht="11.5" customHeight="1">
      <c r="A203" s="912"/>
      <c r="B203" s="1548"/>
      <c r="D203" s="1548"/>
      <c r="K203" s="1548"/>
      <c r="N203" s="1548"/>
      <c r="O203" s="1548"/>
      <c r="P203" s="1548"/>
      <c r="Q203" s="1548"/>
      <c r="S203" s="1548"/>
      <c r="T203" s="1548"/>
      <c r="U203" s="1548"/>
      <c r="V203" s="1548"/>
      <c r="W203" s="1548"/>
      <c r="X203" s="1548"/>
      <c r="Y203" s="1548"/>
      <c r="Z203" s="1548"/>
      <c r="AA203" s="1548"/>
      <c r="AB203" s="1548"/>
      <c r="AC203" s="1548"/>
      <c r="AD203" s="1548"/>
      <c r="AE203" s="1548"/>
      <c r="AF203" s="1548">
        <v>11</v>
      </c>
    </row>
    <row r="204" spans="1:32" ht="11.5" customHeight="1">
      <c r="A204" s="912"/>
      <c r="B204" s="1548"/>
      <c r="D204" s="1548"/>
      <c r="K204" s="1548"/>
      <c r="N204" s="1548"/>
      <c r="O204" s="1548"/>
      <c r="P204" s="1548"/>
      <c r="Q204" s="1548"/>
      <c r="S204" s="1548"/>
      <c r="T204" s="1548"/>
      <c r="U204" s="1548"/>
      <c r="V204" s="1548"/>
      <c r="W204" s="1548"/>
      <c r="X204" s="1548"/>
      <c r="Y204" s="1548"/>
      <c r="Z204" s="1548"/>
      <c r="AA204" s="1548"/>
      <c r="AB204" s="1548"/>
      <c r="AC204" s="1548"/>
      <c r="AD204" s="1548"/>
      <c r="AE204" s="1548"/>
      <c r="AF204" s="1548">
        <v>11</v>
      </c>
    </row>
    <row r="205" spans="1:32" ht="11.5" customHeight="1">
      <c r="A205" s="912"/>
      <c r="B205" s="1548"/>
      <c r="D205" s="1548"/>
      <c r="K205" s="1548"/>
      <c r="N205" s="1548"/>
      <c r="O205" s="1548"/>
      <c r="P205" s="1548"/>
      <c r="Q205" s="1548"/>
      <c r="S205" s="1548"/>
      <c r="T205" s="1548"/>
      <c r="U205" s="1548"/>
      <c r="V205" s="1548"/>
      <c r="W205" s="1548"/>
      <c r="X205" s="1548"/>
      <c r="Y205" s="1548"/>
      <c r="Z205" s="1548"/>
      <c r="AA205" s="1548"/>
      <c r="AB205" s="1548"/>
      <c r="AC205" s="1548"/>
      <c r="AD205" s="1548"/>
      <c r="AE205" s="1548"/>
      <c r="AF205" s="1548">
        <v>11</v>
      </c>
    </row>
    <row r="206" spans="1:32" ht="11.5" customHeight="1">
      <c r="A206" s="912"/>
      <c r="B206" s="1548"/>
      <c r="D206" s="1548"/>
      <c r="K206" s="1548"/>
      <c r="N206" s="1548"/>
      <c r="O206" s="1548"/>
      <c r="P206" s="1548"/>
      <c r="Q206" s="1548"/>
      <c r="S206" s="1548"/>
      <c r="T206" s="1548"/>
      <c r="U206" s="1548"/>
      <c r="V206" s="1548"/>
      <c r="W206" s="1548"/>
      <c r="X206" s="1548"/>
      <c r="Y206" s="1548"/>
      <c r="Z206" s="1548"/>
      <c r="AA206" s="1548"/>
      <c r="AB206" s="1548"/>
      <c r="AC206" s="1548"/>
      <c r="AD206" s="1548"/>
      <c r="AE206" s="1548"/>
      <c r="AF206" s="1548">
        <v>11</v>
      </c>
    </row>
    <row r="207" spans="1:32" ht="11.5" customHeight="1">
      <c r="A207" s="912"/>
      <c r="B207" s="1548"/>
      <c r="D207" s="1548"/>
      <c r="K207" s="1548"/>
      <c r="N207" s="1548"/>
      <c r="O207" s="1548"/>
      <c r="P207" s="1548"/>
      <c r="Q207" s="1548"/>
      <c r="S207" s="1548"/>
      <c r="T207" s="1548"/>
      <c r="U207" s="1548"/>
      <c r="V207" s="1548"/>
      <c r="W207" s="1548"/>
      <c r="X207" s="1548"/>
      <c r="Y207" s="1548"/>
      <c r="Z207" s="1548"/>
      <c r="AA207" s="1548"/>
      <c r="AB207" s="1548"/>
      <c r="AC207" s="1548"/>
      <c r="AD207" s="1548"/>
      <c r="AE207" s="1548"/>
      <c r="AF207" s="1548">
        <v>11</v>
      </c>
    </row>
    <row r="208" spans="1:32" ht="11.5" customHeight="1">
      <c r="A208" s="912"/>
      <c r="B208" s="1548"/>
      <c r="D208" s="1548"/>
      <c r="K208" s="1548"/>
      <c r="N208" s="1548"/>
      <c r="O208" s="1548"/>
      <c r="P208" s="1548"/>
      <c r="Q208" s="1548"/>
      <c r="S208" s="1548"/>
      <c r="T208" s="1548"/>
      <c r="U208" s="1548"/>
      <c r="V208" s="1548"/>
      <c r="W208" s="1548"/>
      <c r="X208" s="1548"/>
      <c r="Y208" s="1548"/>
      <c r="Z208" s="1548"/>
      <c r="AA208" s="1548"/>
      <c r="AB208" s="1548"/>
      <c r="AC208" s="1548"/>
      <c r="AD208" s="1548"/>
      <c r="AE208" s="1548"/>
      <c r="AF208" s="1548">
        <v>11</v>
      </c>
    </row>
    <row r="209" spans="1:32" ht="11.5" customHeight="1">
      <c r="A209" s="912"/>
      <c r="B209" s="1548"/>
      <c r="D209" s="1548"/>
      <c r="K209" s="1548"/>
      <c r="N209" s="1548"/>
      <c r="O209" s="1548"/>
      <c r="P209" s="1548"/>
      <c r="Q209" s="1548"/>
      <c r="S209" s="1548"/>
      <c r="T209" s="1548"/>
      <c r="U209" s="1548"/>
      <c r="V209" s="1548"/>
      <c r="W209" s="1548"/>
      <c r="X209" s="1548"/>
      <c r="Y209" s="1548"/>
      <c r="Z209" s="1548"/>
      <c r="AA209" s="1548"/>
      <c r="AB209" s="1548"/>
      <c r="AC209" s="1548"/>
      <c r="AD209" s="1548"/>
      <c r="AE209" s="1548"/>
      <c r="AF209" s="1548">
        <v>11</v>
      </c>
    </row>
    <row r="210" spans="1:32" ht="11.25" hidden="1" customHeight="1">
      <c r="A210" s="909" t="s">
        <v>83</v>
      </c>
      <c r="B210" s="1077">
        <v>0</v>
      </c>
      <c r="C210" s="1553">
        <v>0</v>
      </c>
      <c r="D210" s="1552">
        <v>3</v>
      </c>
      <c r="E210" s="1548">
        <v>7</v>
      </c>
      <c r="F210" s="1548">
        <v>54</v>
      </c>
      <c r="G210" s="1548">
        <v>10</v>
      </c>
      <c r="H210" s="1548">
        <v>0</v>
      </c>
      <c r="I210" s="1548">
        <v>40</v>
      </c>
      <c r="J210" s="1548">
        <v>102</v>
      </c>
      <c r="K210" s="1077">
        <v>9</v>
      </c>
      <c r="L210" s="1553">
        <v>5</v>
      </c>
      <c r="M210" s="1553">
        <v>3</v>
      </c>
      <c r="N210" s="1077">
        <v>3</v>
      </c>
      <c r="O210" s="1077">
        <v>3</v>
      </c>
      <c r="P210" s="1077">
        <v>3</v>
      </c>
      <c r="Q210" s="1077">
        <v>3</v>
      </c>
      <c r="R210" s="1553">
        <v>10</v>
      </c>
      <c r="S210" s="1077">
        <v>34</v>
      </c>
      <c r="T210" s="1077">
        <v>9</v>
      </c>
      <c r="U210" s="478">
        <v>8</v>
      </c>
      <c r="V210" s="1077">
        <v>8</v>
      </c>
      <c r="W210" s="1077">
        <v>8</v>
      </c>
      <c r="X210" s="1077">
        <v>8</v>
      </c>
      <c r="Y210" s="1077">
        <v>8</v>
      </c>
      <c r="Z210" s="1077">
        <v>8</v>
      </c>
      <c r="AA210" s="1549">
        <v>8</v>
      </c>
      <c r="AB210" s="1549">
        <v>8</v>
      </c>
      <c r="AC210" s="1549">
        <v>8</v>
      </c>
      <c r="AD210" s="1549">
        <v>8</v>
      </c>
      <c r="AE210" s="1549">
        <v>8</v>
      </c>
      <c r="AF210" s="1548">
        <v>11</v>
      </c>
    </row>
  </sheetData>
  <sheetProtection formatColumns="0" formatRows="0" insertRows="0" deleteColumns="0" deleteRows="0" sort="0" autoFilter="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xr:uid="{00000000-0002-0000-2500-000000000000}">
      <formula1>900</formula1>
    </dataValidation>
    <dataValidation type="decimal" allowBlank="1" showErrorMessage="1" errorTitle="Ошибка" error="Допускается ввод только неотрицательных чисел!" sqref="H31:I31 H2:I2 H15:I15 H17:I27 H36:I37" xr:uid="{00000000-0002-0000-2500-000001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xr:uid="{00000000-0002-0000-2500-000002000000}">
      <formula1>900</formula1>
    </dataValidation>
    <dataValidation type="decimal" allowBlank="1" showErrorMessage="1" errorTitle="Ошибка" error="Допускается ввод только действительных чисел!" sqref="H30:I30" xr:uid="{00000000-0002-0000-2500-000003000000}">
      <formula1>-9.99999999999999E+23</formula1>
      <formula2>9.99999999999999E+23</formula2>
    </dataValidation>
    <dataValidation type="decimal" allowBlank="1" showErrorMessage="1" errorTitle="Ошибка" error="Допускается ввод только действительных чисел!" sqref="H32:I34" xr:uid="{00000000-0002-0000-2500-000004000000}">
      <formula1>-9.99999999999999E+37</formula1>
      <formula2>9.99999999999999E+37</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2EF83C-1F73-5951-E4CC-ADC3102F55F6}">
  <sheetPr>
    <tabColor theme="9" tint="-0.249977111117893"/>
  </sheetPr>
  <dimension ref="A1:X102"/>
  <sheetViews>
    <sheetView showGridLines="0" topLeftCell="C2" zoomScale="90" workbookViewId="0"/>
  </sheetViews>
  <sheetFormatPr defaultColWidth="10.59765625" defaultRowHeight="11.25" customHeight="1"/>
  <cols>
    <col min="1" max="1" width="9.09765625" style="2986" hidden="1" customWidth="1"/>
    <col min="2" max="2" width="3.59765625" style="2017" hidden="1" customWidth="1"/>
    <col min="3" max="3" width="3" style="2004" customWidth="1"/>
    <col min="4" max="4" width="7" style="2004" customWidth="1"/>
    <col min="5" max="5" width="69" style="2004" customWidth="1"/>
    <col min="6" max="6" width="10" style="2004" customWidth="1"/>
    <col min="7" max="8" width="44" style="2004" hidden="1" customWidth="1"/>
    <col min="9" max="9" width="44" style="2004" customWidth="1"/>
    <col min="10" max="10" width="43" style="2004" customWidth="1"/>
    <col min="11" max="11" width="73" style="2004" customWidth="1"/>
    <col min="12" max="12" width="3" style="2004" customWidth="1"/>
    <col min="13" max="23" width="10" style="2004" customWidth="1"/>
    <col min="24" max="24" width="10.59765625" style="2004" hidden="1"/>
  </cols>
  <sheetData>
    <row r="1" spans="1:24" s="2016" customFormat="1" ht="22.5" hidden="1" customHeight="1">
      <c r="A1" s="470"/>
      <c r="B1" s="445"/>
      <c r="G1" s="351">
        <v>4</v>
      </c>
      <c r="I1" s="351">
        <v>4</v>
      </c>
      <c r="K1" s="351">
        <v>5</v>
      </c>
      <c r="X1" s="351" t="s">
        <v>14</v>
      </c>
    </row>
    <row r="2" spans="1:24" ht="3" customHeight="1">
      <c r="X2" s="439">
        <v>3</v>
      </c>
    </row>
    <row r="3" spans="1:24" ht="78.75" customHeight="1">
      <c r="D3" s="3060"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3061"/>
      <c r="F3" s="3062"/>
      <c r="X3" s="439">
        <v>75</v>
      </c>
    </row>
    <row r="4" spans="1:24" s="2004" customFormat="1" ht="21" customHeight="1">
      <c r="A4" s="874"/>
      <c r="B4" s="445"/>
      <c r="D4" s="3164" t="str">
        <f>IF(org=0,"Не определено",org)</f>
        <v>ООО "РСО"</v>
      </c>
      <c r="E4" s="3165"/>
      <c r="F4" s="3166"/>
      <c r="X4" s="690">
        <v>20</v>
      </c>
    </row>
    <row r="5" spans="1:24" ht="11.5" customHeight="1">
      <c r="C5" s="443"/>
      <c r="D5" s="522"/>
      <c r="E5" s="522"/>
      <c r="F5" s="522"/>
      <c r="G5" s="522"/>
      <c r="H5" s="686"/>
      <c r="I5" s="522"/>
      <c r="J5" s="686"/>
      <c r="K5" s="522"/>
      <c r="X5" s="439">
        <v>11</v>
      </c>
    </row>
    <row r="6" spans="1:24" ht="1" customHeight="1">
      <c r="C6" s="443"/>
      <c r="D6" s="443"/>
      <c r="E6" s="456"/>
      <c r="F6" s="548"/>
      <c r="G6" s="943"/>
      <c r="H6" s="943"/>
      <c r="I6" s="943" t="s">
        <v>131</v>
      </c>
      <c r="J6" s="943"/>
      <c r="X6" s="439">
        <v>1</v>
      </c>
    </row>
    <row r="7" spans="1:24" ht="11.5" customHeight="1">
      <c r="D7" s="645"/>
      <c r="E7" s="3282" t="s">
        <v>120</v>
      </c>
      <c r="F7" s="3283"/>
      <c r="G7" s="3305" t="str">
        <f>IF(G6="","",INDEX(DIFFERENTIATION_UNMERGE_VD,MATCH(G6,DIFFERENTIATION_ID_DIFF,0)))</f>
        <v/>
      </c>
      <c r="H7" s="3306"/>
      <c r="I7" s="3305">
        <f>IF(I6="","",INDEX(DIFFERENTIATION_UNMERGE_VD,MATCH(I6,DIFFERENTIATION_ID_DIFF,0)))</f>
        <v>0</v>
      </c>
      <c r="J7" s="3306"/>
      <c r="K7" s="3130"/>
      <c r="L7" s="443"/>
      <c r="X7" s="439">
        <v>11</v>
      </c>
    </row>
    <row r="8" spans="1:24" ht="11.5" customHeight="1">
      <c r="A8" s="638"/>
      <c r="D8" s="645"/>
      <c r="E8" s="3282" t="s">
        <v>597</v>
      </c>
      <c r="F8" s="3283"/>
      <c r="G8" s="3305" t="str">
        <f>IF(G6="","",INDEX(DIFFERENTIATION_UNMERGE_AREA,MATCH(G6,DIFFERENTIATION_ID_DIFF,0)))</f>
        <v/>
      </c>
      <c r="H8" s="3306"/>
      <c r="I8" s="3305" t="str">
        <f>IF(I6="","",INDEX(DIFFERENTIATION_UNMERGE_AREA,MATCH(I6,DIFFERENTIATION_ID_DIFF,0)))</f>
        <v/>
      </c>
      <c r="J8" s="3306"/>
      <c r="K8" s="3149"/>
      <c r="L8" s="443"/>
      <c r="X8" s="439">
        <v>11</v>
      </c>
    </row>
    <row r="9" spans="1:24" ht="11.5" customHeight="1">
      <c r="A9" s="638"/>
      <c r="D9" s="645"/>
      <c r="E9" s="3282" t="s">
        <v>598</v>
      </c>
      <c r="F9" s="3283"/>
      <c r="G9" s="3305" t="str">
        <f>IF(G6="","",INDEX(DIFFERENTIATION_UNMERGE_SYSTEM,MATCH(G6,DIFFERENTIATION_ID_DIFF,0)))</f>
        <v/>
      </c>
      <c r="H9" s="3306"/>
      <c r="I9" s="3305" t="str">
        <f>IF(I6="","",INDEX(DIFFERENTIATION_UNMERGE_SYSTEM,MATCH(I6,DIFFERENTIATION_ID_DIFF,0)))</f>
        <v>без дифференциации</v>
      </c>
      <c r="J9" s="3306"/>
      <c r="K9" s="3149"/>
      <c r="L9" s="443"/>
      <c r="X9" s="439">
        <v>11</v>
      </c>
    </row>
    <row r="10" spans="1:24" s="2004" customFormat="1" ht="11.5" customHeight="1">
      <c r="A10" s="942"/>
      <c r="B10" s="445"/>
      <c r="D10" s="3038" t="s">
        <v>335</v>
      </c>
      <c r="E10" s="3044"/>
      <c r="F10" s="3044"/>
      <c r="G10" s="3044"/>
      <c r="H10" s="3044"/>
      <c r="I10" s="3044"/>
      <c r="J10" s="3037"/>
      <c r="K10" s="3149"/>
      <c r="L10" s="443"/>
      <c r="X10" s="690">
        <v>11</v>
      </c>
    </row>
    <row r="11" spans="1:24" s="2004" customFormat="1" ht="24" customHeight="1">
      <c r="A11" s="3219"/>
      <c r="B11" s="3219"/>
      <c r="C11" s="591"/>
      <c r="D11" s="637" t="s">
        <v>89</v>
      </c>
      <c r="E11" s="639" t="s">
        <v>839</v>
      </c>
      <c r="F11" s="639" t="s">
        <v>599</v>
      </c>
      <c r="G11" s="399" t="s">
        <v>338</v>
      </c>
      <c r="H11" s="399" t="s">
        <v>425</v>
      </c>
      <c r="I11" s="735" t="s">
        <v>338</v>
      </c>
      <c r="J11" s="736" t="s">
        <v>425</v>
      </c>
      <c r="K11" s="3178"/>
      <c r="L11" s="592"/>
      <c r="X11" s="443">
        <v>23</v>
      </c>
    </row>
    <row r="12" spans="1:24" s="2017" customFormat="1" ht="10.5" customHeight="1">
      <c r="A12" s="875"/>
      <c r="D12" s="946" t="s">
        <v>124</v>
      </c>
      <c r="E12" s="946" t="s">
        <v>104</v>
      </c>
      <c r="F12" s="946" t="s">
        <v>91</v>
      </c>
      <c r="G12" s="947" t="str">
        <f>G1&amp;".1"</f>
        <v>4.1</v>
      </c>
      <c r="H12" s="947" t="str">
        <f>G1&amp;".2"</f>
        <v>4.2</v>
      </c>
      <c r="I12" s="947" t="str">
        <f>I1&amp;".1"</f>
        <v>4.1</v>
      </c>
      <c r="J12" s="947" t="str">
        <f>I1&amp;".2"</f>
        <v>4.2</v>
      </c>
      <c r="K12" s="947"/>
      <c r="X12" s="445">
        <v>10</v>
      </c>
    </row>
    <row r="13" spans="1:24" ht="22.5" customHeight="1">
      <c r="A13" s="3304" t="s">
        <v>840</v>
      </c>
      <c r="D13" s="876" t="s">
        <v>124</v>
      </c>
      <c r="E13" s="214" t="s">
        <v>841</v>
      </c>
      <c r="F13" s="594" t="s">
        <v>842</v>
      </c>
      <c r="G13" s="491"/>
      <c r="H13" s="595"/>
      <c r="I13" s="491"/>
      <c r="J13" s="595"/>
      <c r="K13" s="224" t="s">
        <v>843</v>
      </c>
      <c r="L13" s="654"/>
      <c r="X13" s="439">
        <v>0</v>
      </c>
    </row>
    <row r="14" spans="1:24" ht="22.5" customHeight="1">
      <c r="A14" s="3304"/>
      <c r="D14" s="473" t="s">
        <v>104</v>
      </c>
      <c r="E14" s="214" t="s">
        <v>844</v>
      </c>
      <c r="F14" s="594" t="s">
        <v>845</v>
      </c>
      <c r="G14" s="491"/>
      <c r="H14" s="596"/>
      <c r="I14" s="491"/>
      <c r="J14" s="596"/>
      <c r="K14" s="224" t="s">
        <v>846</v>
      </c>
      <c r="L14" s="654"/>
      <c r="X14" s="439">
        <v>0</v>
      </c>
    </row>
    <row r="15" spans="1:24" s="2004" customFormat="1" ht="78.75" customHeight="1">
      <c r="A15" s="3304"/>
      <c r="B15" s="445"/>
      <c r="D15" s="876" t="s">
        <v>91</v>
      </c>
      <c r="E15" s="641" t="s">
        <v>847</v>
      </c>
      <c r="F15" s="873" t="s">
        <v>341</v>
      </c>
      <c r="G15" s="873" t="s">
        <v>341</v>
      </c>
      <c r="H15" s="44"/>
      <c r="I15" s="873" t="s">
        <v>341</v>
      </c>
      <c r="J15" s="44"/>
      <c r="K15" s="224" t="s">
        <v>848</v>
      </c>
      <c r="L15" s="654"/>
      <c r="X15" s="690">
        <v>0</v>
      </c>
    </row>
    <row r="16" spans="1:24" s="2004" customFormat="1" ht="22.5" customHeight="1">
      <c r="A16" s="3304"/>
      <c r="B16" s="445"/>
      <c r="D16" s="876" t="s">
        <v>359</v>
      </c>
      <c r="E16" s="877" t="s">
        <v>849</v>
      </c>
      <c r="F16" s="873" t="s">
        <v>850</v>
      </c>
      <c r="G16" s="745"/>
      <c r="H16" s="44"/>
      <c r="I16" s="745"/>
      <c r="J16" s="44"/>
      <c r="K16" s="224"/>
      <c r="L16" s="654"/>
      <c r="X16" s="690">
        <v>0</v>
      </c>
    </row>
    <row r="17" spans="1:24" s="2004" customFormat="1" ht="22.5" customHeight="1">
      <c r="A17" s="3304"/>
      <c r="B17" s="445"/>
      <c r="D17" s="876" t="s">
        <v>367</v>
      </c>
      <c r="E17" s="877" t="s">
        <v>851</v>
      </c>
      <c r="F17" s="873" t="s">
        <v>852</v>
      </c>
      <c r="G17" s="745"/>
      <c r="H17" s="44"/>
      <c r="I17" s="745"/>
      <c r="J17" s="44"/>
      <c r="K17" s="224"/>
      <c r="L17" s="654"/>
      <c r="X17" s="690">
        <v>0</v>
      </c>
    </row>
    <row r="18" spans="1:24" s="2004" customFormat="1" ht="33.75" customHeight="1">
      <c r="A18" s="3304"/>
      <c r="B18" s="445"/>
      <c r="D18" s="876" t="s">
        <v>369</v>
      </c>
      <c r="E18" s="877" t="s">
        <v>853</v>
      </c>
      <c r="F18" s="873" t="s">
        <v>604</v>
      </c>
      <c r="G18" s="614"/>
      <c r="H18" s="44"/>
      <c r="I18" s="614"/>
      <c r="J18" s="44"/>
      <c r="K18" s="224"/>
      <c r="L18" s="654"/>
      <c r="X18" s="690">
        <v>0</v>
      </c>
    </row>
    <row r="19" spans="1:24" ht="101.25" customHeight="1">
      <c r="A19" s="3304"/>
      <c r="D19" s="876" t="s">
        <v>92</v>
      </c>
      <c r="E19" s="214" t="s">
        <v>854</v>
      </c>
      <c r="F19" s="594" t="s">
        <v>579</v>
      </c>
      <c r="G19" s="597"/>
      <c r="H19" s="596"/>
      <c r="I19" s="878"/>
      <c r="J19" s="596"/>
      <c r="K19" s="224" t="s">
        <v>855</v>
      </c>
      <c r="L19" s="654"/>
      <c r="X19" s="439">
        <v>0</v>
      </c>
    </row>
    <row r="20" spans="1:24" s="2004" customFormat="1" ht="18.75" customHeight="1">
      <c r="A20" s="3304"/>
      <c r="C20" s="879"/>
      <c r="D20" s="876" t="s">
        <v>786</v>
      </c>
      <c r="E20" s="877" t="s">
        <v>856</v>
      </c>
      <c r="F20" s="873" t="s">
        <v>341</v>
      </c>
      <c r="G20" s="873" t="s">
        <v>341</v>
      </c>
      <c r="H20" s="872" t="s">
        <v>341</v>
      </c>
      <c r="I20" s="873" t="s">
        <v>341</v>
      </c>
      <c r="J20" s="872" t="s">
        <v>341</v>
      </c>
      <c r="K20" s="871"/>
      <c r="L20" s="654"/>
      <c r="W20" s="609"/>
      <c r="X20" s="690">
        <v>0</v>
      </c>
    </row>
    <row r="21" spans="1:24" s="2004" customFormat="1" ht="33.75" customHeight="1">
      <c r="A21" s="3304"/>
      <c r="C21" s="879"/>
      <c r="D21" s="876" t="s">
        <v>789</v>
      </c>
      <c r="E21" s="510" t="s">
        <v>857</v>
      </c>
      <c r="F21" s="873" t="s">
        <v>858</v>
      </c>
      <c r="G21" s="614"/>
      <c r="H21" s="44"/>
      <c r="I21" s="614"/>
      <c r="J21" s="44"/>
      <c r="K21" s="871"/>
      <c r="L21" s="654"/>
      <c r="W21" s="609"/>
      <c r="X21" s="690">
        <v>0</v>
      </c>
    </row>
    <row r="22" spans="1:24" s="2004" customFormat="1" ht="33.75" customHeight="1">
      <c r="A22" s="3304"/>
      <c r="C22" s="879"/>
      <c r="D22" s="876" t="s">
        <v>792</v>
      </c>
      <c r="E22" s="510" t="s">
        <v>859</v>
      </c>
      <c r="F22" s="873" t="s">
        <v>860</v>
      </c>
      <c r="G22" s="614"/>
      <c r="H22" s="44"/>
      <c r="I22" s="614"/>
      <c r="J22" s="44"/>
      <c r="K22" s="871"/>
      <c r="L22" s="654"/>
      <c r="W22" s="609"/>
      <c r="X22" s="690">
        <v>0</v>
      </c>
    </row>
    <row r="23" spans="1:24" s="2004" customFormat="1" ht="22.5" customHeight="1">
      <c r="A23" s="3304"/>
      <c r="C23" s="879"/>
      <c r="D23" s="876" t="s">
        <v>828</v>
      </c>
      <c r="E23" s="877" t="s">
        <v>861</v>
      </c>
      <c r="F23" s="873" t="s">
        <v>341</v>
      </c>
      <c r="G23" s="873" t="s">
        <v>341</v>
      </c>
      <c r="H23" s="872" t="s">
        <v>341</v>
      </c>
      <c r="I23" s="873" t="s">
        <v>341</v>
      </c>
      <c r="J23" s="872" t="s">
        <v>341</v>
      </c>
      <c r="K23" s="871"/>
      <c r="L23" s="654"/>
      <c r="W23" s="609"/>
      <c r="X23" s="690">
        <v>0</v>
      </c>
    </row>
    <row r="24" spans="1:24" s="2004" customFormat="1" ht="22.5" customHeight="1">
      <c r="A24" s="3304"/>
      <c r="C24" s="879"/>
      <c r="D24" s="876" t="s">
        <v>862</v>
      </c>
      <c r="E24" s="510" t="s">
        <v>863</v>
      </c>
      <c r="F24" s="873" t="s">
        <v>864</v>
      </c>
      <c r="G24" s="614"/>
      <c r="H24" s="620"/>
      <c r="I24" s="614"/>
      <c r="J24" s="620"/>
      <c r="K24" s="871"/>
      <c r="L24" s="654"/>
      <c r="W24" s="609"/>
      <c r="X24" s="690">
        <v>0</v>
      </c>
    </row>
    <row r="25" spans="1:24" s="2004" customFormat="1" ht="22.5" customHeight="1">
      <c r="A25" s="3304"/>
      <c r="C25" s="879"/>
      <c r="D25" s="876" t="s">
        <v>865</v>
      </c>
      <c r="E25" s="510" t="s">
        <v>866</v>
      </c>
      <c r="F25" s="873" t="s">
        <v>341</v>
      </c>
      <c r="G25" s="873" t="s">
        <v>341</v>
      </c>
      <c r="H25" s="872" t="s">
        <v>341</v>
      </c>
      <c r="I25" s="873" t="s">
        <v>341</v>
      </c>
      <c r="J25" s="872" t="s">
        <v>341</v>
      </c>
      <c r="K25" s="871"/>
      <c r="L25" s="654"/>
      <c r="W25" s="609"/>
      <c r="X25" s="690">
        <v>0</v>
      </c>
    </row>
    <row r="26" spans="1:24" s="2004" customFormat="1" ht="18.75" customHeight="1">
      <c r="A26" s="3304"/>
      <c r="C26" s="879"/>
      <c r="D26" s="876" t="s">
        <v>867</v>
      </c>
      <c r="E26" s="487" t="s">
        <v>868</v>
      </c>
      <c r="F26" s="873" t="s">
        <v>869</v>
      </c>
      <c r="G26" s="614"/>
      <c r="H26" s="620"/>
      <c r="I26" s="614"/>
      <c r="J26" s="620"/>
      <c r="K26" s="871"/>
      <c r="L26" s="654"/>
      <c r="W26" s="609"/>
      <c r="X26" s="690">
        <v>0</v>
      </c>
    </row>
    <row r="27" spans="1:24" s="2004" customFormat="1" ht="18.75" customHeight="1">
      <c r="A27" s="3304"/>
      <c r="C27" s="879"/>
      <c r="D27" s="876" t="s">
        <v>870</v>
      </c>
      <c r="E27" s="487" t="s">
        <v>871</v>
      </c>
      <c r="F27" s="873" t="s">
        <v>872</v>
      </c>
      <c r="G27" s="614"/>
      <c r="H27" s="620"/>
      <c r="I27" s="614"/>
      <c r="J27" s="620"/>
      <c r="K27" s="871"/>
      <c r="L27" s="654"/>
      <c r="W27" s="609"/>
      <c r="X27" s="690">
        <v>0</v>
      </c>
    </row>
    <row r="28" spans="1:24" s="2004" customFormat="1" ht="18.75" customHeight="1">
      <c r="A28" s="3304"/>
      <c r="C28" s="879"/>
      <c r="D28" s="876" t="s">
        <v>873</v>
      </c>
      <c r="E28" s="510" t="s">
        <v>874</v>
      </c>
      <c r="F28" s="873" t="s">
        <v>341</v>
      </c>
      <c r="G28" s="873" t="s">
        <v>341</v>
      </c>
      <c r="H28" s="872" t="s">
        <v>341</v>
      </c>
      <c r="I28" s="873" t="s">
        <v>341</v>
      </c>
      <c r="J28" s="872" t="s">
        <v>341</v>
      </c>
      <c r="K28" s="871"/>
      <c r="L28" s="654"/>
      <c r="W28" s="609"/>
      <c r="X28" s="690">
        <v>0</v>
      </c>
    </row>
    <row r="29" spans="1:24" s="2004" customFormat="1" ht="18.75" customHeight="1">
      <c r="A29" s="3304"/>
      <c r="C29" s="879"/>
      <c r="D29" s="876" t="s">
        <v>875</v>
      </c>
      <c r="E29" s="487" t="s">
        <v>868</v>
      </c>
      <c r="F29" s="873" t="s">
        <v>876</v>
      </c>
      <c r="G29" s="614"/>
      <c r="H29" s="620"/>
      <c r="I29" s="614"/>
      <c r="J29" s="620"/>
      <c r="K29" s="871"/>
      <c r="L29" s="654"/>
      <c r="W29" s="609"/>
      <c r="X29" s="690">
        <v>0</v>
      </c>
    </row>
    <row r="30" spans="1:24" s="2004" customFormat="1" ht="18.75" customHeight="1">
      <c r="A30" s="3304"/>
      <c r="C30" s="879"/>
      <c r="D30" s="876" t="s">
        <v>877</v>
      </c>
      <c r="E30" s="487" t="s">
        <v>878</v>
      </c>
      <c r="F30" s="873" t="s">
        <v>879</v>
      </c>
      <c r="G30" s="614"/>
      <c r="H30" s="620"/>
      <c r="I30" s="614"/>
      <c r="J30" s="620"/>
      <c r="K30" s="871"/>
      <c r="L30" s="654"/>
      <c r="W30" s="609"/>
      <c r="X30" s="690">
        <v>0</v>
      </c>
    </row>
    <row r="31" spans="1:24" ht="126.75" customHeight="1">
      <c r="A31" s="3304"/>
      <c r="D31" s="876" t="s">
        <v>125</v>
      </c>
      <c r="E31" s="214" t="s">
        <v>880</v>
      </c>
      <c r="F31" s="594" t="s">
        <v>591</v>
      </c>
      <c r="G31" s="491"/>
      <c r="H31" s="596"/>
      <c r="I31" s="491"/>
      <c r="J31" s="596"/>
      <c r="K31" s="224" t="s">
        <v>881</v>
      </c>
      <c r="L31" s="654"/>
      <c r="X31" s="439">
        <v>0</v>
      </c>
    </row>
    <row r="32" spans="1:24" ht="56.25" customHeight="1">
      <c r="A32" s="3304"/>
      <c r="D32" s="876" t="s">
        <v>93</v>
      </c>
      <c r="E32" s="214" t="s">
        <v>882</v>
      </c>
      <c r="F32" s="473" t="s">
        <v>852</v>
      </c>
      <c r="G32" s="491"/>
      <c r="H32" s="596"/>
      <c r="I32" s="491"/>
      <c r="J32" s="596"/>
      <c r="K32" s="224" t="s">
        <v>883</v>
      </c>
      <c r="L32" s="654"/>
      <c r="X32" s="439">
        <v>0</v>
      </c>
    </row>
    <row r="33" spans="1:24" ht="11.25" customHeight="1">
      <c r="A33" s="3304"/>
      <c r="E33" s="598"/>
      <c r="F33" s="116"/>
      <c r="G33" s="116"/>
      <c r="H33" s="116"/>
      <c r="I33" s="116"/>
      <c r="J33" s="116"/>
      <c r="K33" s="116"/>
      <c r="X33" s="439">
        <v>0</v>
      </c>
    </row>
    <row r="34" spans="1:24" ht="12.75" customHeight="1">
      <c r="A34" s="3304"/>
      <c r="D34" s="3">
        <v>1</v>
      </c>
      <c r="E34" s="270" t="s">
        <v>884</v>
      </c>
      <c r="X34" s="439">
        <v>0</v>
      </c>
    </row>
    <row r="35" spans="1:24" ht="11.25" customHeight="1">
      <c r="A35" s="3304"/>
      <c r="D35" s="303"/>
      <c r="E35" s="270" t="s">
        <v>885</v>
      </c>
      <c r="X35" s="439">
        <v>0</v>
      </c>
    </row>
    <row r="36" spans="1:24" s="2004" customFormat="1" ht="11.5" customHeight="1">
      <c r="A36" s="954"/>
      <c r="B36" s="452"/>
      <c r="D36" s="955"/>
      <c r="E36" s="956"/>
      <c r="X36" s="443">
        <v>11</v>
      </c>
    </row>
    <row r="37" spans="1:24" s="2004" customFormat="1" ht="22.5" hidden="1" customHeight="1">
      <c r="A37" s="3304" t="s">
        <v>886</v>
      </c>
      <c r="B37" s="445"/>
      <c r="D37" s="876">
        <v>1</v>
      </c>
      <c r="E37" s="641" t="s">
        <v>887</v>
      </c>
      <c r="F37" s="594" t="s">
        <v>842</v>
      </c>
      <c r="G37" s="491"/>
      <c r="H37" s="453"/>
      <c r="I37" s="491"/>
      <c r="J37" s="453"/>
      <c r="K37" s="224" t="s">
        <v>888</v>
      </c>
      <c r="X37" s="690">
        <v>0</v>
      </c>
    </row>
    <row r="38" spans="1:24" s="2004" customFormat="1" ht="22.5" hidden="1" customHeight="1">
      <c r="A38" s="3304"/>
      <c r="B38" s="445"/>
      <c r="D38" s="603" t="s">
        <v>104</v>
      </c>
      <c r="E38" s="953" t="s">
        <v>889</v>
      </c>
      <c r="F38" s="957" t="s">
        <v>579</v>
      </c>
      <c r="G38" s="957" t="s">
        <v>579</v>
      </c>
      <c r="H38" s="951"/>
      <c r="I38" s="957" t="s">
        <v>579</v>
      </c>
      <c r="J38" s="951"/>
      <c r="K38" s="952"/>
      <c r="X38" s="690">
        <v>0</v>
      </c>
    </row>
    <row r="39" spans="1:24" s="2004" customFormat="1" ht="33.75" hidden="1" customHeight="1">
      <c r="A39" s="3304"/>
      <c r="B39" s="445"/>
      <c r="D39" s="599" t="s">
        <v>744</v>
      </c>
      <c r="E39" s="657" t="s">
        <v>890</v>
      </c>
      <c r="F39" s="594" t="s">
        <v>891</v>
      </c>
      <c r="G39" s="602"/>
      <c r="H39" s="944"/>
      <c r="I39" s="602"/>
      <c r="J39" s="944"/>
      <c r="K39" s="224" t="s">
        <v>892</v>
      </c>
      <c r="X39" s="690">
        <v>0</v>
      </c>
    </row>
    <row r="40" spans="1:24" s="2004" customFormat="1" ht="33.75" hidden="1" customHeight="1">
      <c r="A40" s="3304"/>
      <c r="B40" s="445"/>
      <c r="D40" s="599" t="s">
        <v>747</v>
      </c>
      <c r="E40" s="657" t="s">
        <v>893</v>
      </c>
      <c r="F40" s="948" t="s">
        <v>894</v>
      </c>
      <c r="G40" s="675"/>
      <c r="H40" s="944"/>
      <c r="I40" s="675"/>
      <c r="J40" s="944"/>
      <c r="K40" s="224" t="s">
        <v>895</v>
      </c>
      <c r="X40" s="690">
        <v>0</v>
      </c>
    </row>
    <row r="41" spans="1:24" s="2004" customFormat="1" ht="22.5" hidden="1" customHeight="1">
      <c r="A41" s="3304"/>
      <c r="B41" s="445"/>
      <c r="D41" s="599" t="s">
        <v>91</v>
      </c>
      <c r="E41" s="656" t="s">
        <v>896</v>
      </c>
      <c r="F41" s="594" t="s">
        <v>579</v>
      </c>
      <c r="G41" s="594" t="s">
        <v>579</v>
      </c>
      <c r="H41" s="945"/>
      <c r="I41" s="594" t="s">
        <v>579</v>
      </c>
      <c r="J41" s="945"/>
      <c r="K41" s="237"/>
      <c r="X41" s="690">
        <v>0</v>
      </c>
    </row>
    <row r="42" spans="1:24" s="2004" customFormat="1" ht="45" hidden="1" customHeight="1">
      <c r="A42" s="3304"/>
      <c r="B42" s="445"/>
      <c r="D42" s="599" t="s">
        <v>359</v>
      </c>
      <c r="E42" s="657" t="s">
        <v>897</v>
      </c>
      <c r="F42" s="594" t="s">
        <v>591</v>
      </c>
      <c r="G42" s="491"/>
      <c r="H42" s="945"/>
      <c r="I42" s="491"/>
      <c r="J42" s="945"/>
      <c r="K42" s="237" t="s">
        <v>898</v>
      </c>
      <c r="X42" s="690">
        <v>0</v>
      </c>
    </row>
    <row r="43" spans="1:24" s="2004" customFormat="1" ht="45" hidden="1" customHeight="1">
      <c r="A43" s="3304"/>
      <c r="B43" s="445"/>
      <c r="D43" s="599" t="s">
        <v>367</v>
      </c>
      <c r="E43" s="601" t="s">
        <v>899</v>
      </c>
      <c r="F43" s="949" t="s">
        <v>591</v>
      </c>
      <c r="G43" s="676"/>
      <c r="H43" s="944"/>
      <c r="I43" s="676"/>
      <c r="J43" s="944"/>
      <c r="K43" s="237" t="s">
        <v>900</v>
      </c>
      <c r="X43" s="690">
        <v>0</v>
      </c>
    </row>
    <row r="44" spans="1:24" s="2004" customFormat="1" ht="11.25" hidden="1" customHeight="1">
      <c r="A44" s="3304"/>
      <c r="B44" s="445"/>
      <c r="D44" s="599" t="s">
        <v>92</v>
      </c>
      <c r="E44" s="600" t="s">
        <v>901</v>
      </c>
      <c r="F44" s="594" t="s">
        <v>891</v>
      </c>
      <c r="G44" s="602"/>
      <c r="H44" s="944"/>
      <c r="I44" s="602"/>
      <c r="J44" s="944"/>
      <c r="K44" s="224"/>
      <c r="X44" s="690">
        <v>0</v>
      </c>
    </row>
    <row r="45" spans="1:24" s="2004" customFormat="1" ht="11.25" hidden="1" customHeight="1">
      <c r="A45" s="3304"/>
      <c r="B45" s="445"/>
      <c r="D45" s="599" t="s">
        <v>786</v>
      </c>
      <c r="E45" s="601" t="s">
        <v>902</v>
      </c>
      <c r="F45" s="594" t="s">
        <v>891</v>
      </c>
      <c r="G45" s="602"/>
      <c r="H45" s="944"/>
      <c r="I45" s="602"/>
      <c r="J45" s="944"/>
      <c r="K45" s="224"/>
      <c r="X45" s="690">
        <v>0</v>
      </c>
    </row>
    <row r="46" spans="1:24" s="2004" customFormat="1" ht="11.25" hidden="1" customHeight="1">
      <c r="A46" s="3304"/>
      <c r="B46" s="445"/>
      <c r="D46" s="599" t="s">
        <v>828</v>
      </c>
      <c r="E46" s="601" t="s">
        <v>903</v>
      </c>
      <c r="F46" s="594" t="s">
        <v>891</v>
      </c>
      <c r="G46" s="602"/>
      <c r="H46" s="944"/>
      <c r="I46" s="602"/>
      <c r="J46" s="944"/>
      <c r="K46" s="224"/>
      <c r="X46" s="690">
        <v>0</v>
      </c>
    </row>
    <row r="47" spans="1:24" s="2004" customFormat="1" ht="11.25" hidden="1" customHeight="1">
      <c r="A47" s="3304"/>
      <c r="B47" s="445"/>
      <c r="D47" s="599" t="s">
        <v>831</v>
      </c>
      <c r="E47" s="601" t="s">
        <v>904</v>
      </c>
      <c r="F47" s="594" t="s">
        <v>891</v>
      </c>
      <c r="G47" s="602"/>
      <c r="H47" s="944"/>
      <c r="I47" s="602"/>
      <c r="J47" s="944"/>
      <c r="K47" s="224"/>
      <c r="X47" s="690">
        <v>0</v>
      </c>
    </row>
    <row r="48" spans="1:24" s="2004" customFormat="1" ht="11.25" hidden="1" customHeight="1">
      <c r="A48" s="3304"/>
      <c r="B48" s="445"/>
      <c r="D48" s="599" t="s">
        <v>905</v>
      </c>
      <c r="E48" s="605" t="s">
        <v>906</v>
      </c>
      <c r="F48" s="594" t="s">
        <v>891</v>
      </c>
      <c r="G48" s="602"/>
      <c r="H48" s="944"/>
      <c r="I48" s="602"/>
      <c r="J48" s="944"/>
      <c r="K48" s="224"/>
      <c r="X48" s="690">
        <v>0</v>
      </c>
    </row>
    <row r="49" spans="1:24" s="2004" customFormat="1" ht="11.25" hidden="1" customHeight="1">
      <c r="A49" s="3304"/>
      <c r="B49" s="445"/>
      <c r="D49" s="599" t="s">
        <v>907</v>
      </c>
      <c r="E49" s="605" t="s">
        <v>908</v>
      </c>
      <c r="F49" s="594" t="s">
        <v>891</v>
      </c>
      <c r="G49" s="602"/>
      <c r="H49" s="944"/>
      <c r="I49" s="602"/>
      <c r="J49" s="944"/>
      <c r="K49" s="224"/>
      <c r="X49" s="690">
        <v>0</v>
      </c>
    </row>
    <row r="50" spans="1:24" s="2004" customFormat="1" ht="11.25" hidden="1" customHeight="1">
      <c r="A50" s="3304"/>
      <c r="B50" s="445"/>
      <c r="D50" s="599" t="s">
        <v>909</v>
      </c>
      <c r="E50" s="601" t="s">
        <v>910</v>
      </c>
      <c r="F50" s="594" t="s">
        <v>891</v>
      </c>
      <c r="G50" s="602"/>
      <c r="H50" s="944"/>
      <c r="I50" s="602"/>
      <c r="J50" s="944"/>
      <c r="K50" s="224"/>
      <c r="X50" s="690">
        <v>0</v>
      </c>
    </row>
    <row r="51" spans="1:24" s="2004" customFormat="1" ht="11.25" hidden="1" customHeight="1">
      <c r="A51" s="3304"/>
      <c r="B51" s="445"/>
      <c r="D51" s="599" t="s">
        <v>911</v>
      </c>
      <c r="E51" s="601" t="s">
        <v>912</v>
      </c>
      <c r="F51" s="594" t="s">
        <v>891</v>
      </c>
      <c r="G51" s="602"/>
      <c r="H51" s="944"/>
      <c r="I51" s="602"/>
      <c r="J51" s="944"/>
      <c r="K51" s="224"/>
      <c r="X51" s="690">
        <v>0</v>
      </c>
    </row>
    <row r="52" spans="1:24" s="2004" customFormat="1" ht="45" hidden="1" customHeight="1">
      <c r="A52" s="3304"/>
      <c r="B52" s="445"/>
      <c r="D52" s="599" t="s">
        <v>125</v>
      </c>
      <c r="E52" s="600" t="s">
        <v>913</v>
      </c>
      <c r="F52" s="594" t="s">
        <v>891</v>
      </c>
      <c r="G52" s="602"/>
      <c r="H52" s="944"/>
      <c r="I52" s="602"/>
      <c r="J52" s="944"/>
      <c r="K52" s="224"/>
      <c r="X52" s="690">
        <v>0</v>
      </c>
    </row>
    <row r="53" spans="1:24" s="2004" customFormat="1" ht="11.25" hidden="1" customHeight="1">
      <c r="A53" s="3304"/>
      <c r="B53" s="445"/>
      <c r="D53" s="599" t="s">
        <v>348</v>
      </c>
      <c r="E53" s="601" t="s">
        <v>902</v>
      </c>
      <c r="F53" s="594" t="s">
        <v>891</v>
      </c>
      <c r="G53" s="602"/>
      <c r="H53" s="944"/>
      <c r="I53" s="602"/>
      <c r="J53" s="944"/>
      <c r="K53" s="224"/>
      <c r="X53" s="690">
        <v>0</v>
      </c>
    </row>
    <row r="54" spans="1:24" s="2004" customFormat="1" ht="11.25" hidden="1" customHeight="1">
      <c r="A54" s="3304"/>
      <c r="B54" s="445"/>
      <c r="D54" s="599" t="s">
        <v>914</v>
      </c>
      <c r="E54" s="601" t="s">
        <v>903</v>
      </c>
      <c r="F54" s="594" t="s">
        <v>891</v>
      </c>
      <c r="G54" s="602"/>
      <c r="H54" s="944"/>
      <c r="I54" s="602"/>
      <c r="J54" s="944"/>
      <c r="K54" s="224"/>
      <c r="X54" s="690">
        <v>0</v>
      </c>
    </row>
    <row r="55" spans="1:24" s="2004" customFormat="1" ht="11.25" hidden="1" customHeight="1">
      <c r="A55" s="3304"/>
      <c r="B55" s="445"/>
      <c r="D55" s="599" t="s">
        <v>915</v>
      </c>
      <c r="E55" s="601" t="s">
        <v>904</v>
      </c>
      <c r="F55" s="594" t="s">
        <v>891</v>
      </c>
      <c r="G55" s="602"/>
      <c r="H55" s="944"/>
      <c r="I55" s="602"/>
      <c r="J55" s="944"/>
      <c r="K55" s="224"/>
      <c r="X55" s="690">
        <v>0</v>
      </c>
    </row>
    <row r="56" spans="1:24" s="2004" customFormat="1" ht="11.25" hidden="1" customHeight="1">
      <c r="A56" s="3304"/>
      <c r="B56" s="445"/>
      <c r="D56" s="599" t="s">
        <v>916</v>
      </c>
      <c r="E56" s="605" t="s">
        <v>906</v>
      </c>
      <c r="F56" s="594" t="s">
        <v>891</v>
      </c>
      <c r="G56" s="602"/>
      <c r="H56" s="944"/>
      <c r="I56" s="602"/>
      <c r="J56" s="944"/>
      <c r="K56" s="224"/>
      <c r="X56" s="690">
        <v>0</v>
      </c>
    </row>
    <row r="57" spans="1:24" s="2004" customFormat="1" ht="11.25" hidden="1" customHeight="1">
      <c r="A57" s="3304"/>
      <c r="B57" s="445"/>
      <c r="D57" s="599" t="s">
        <v>917</v>
      </c>
      <c r="E57" s="605" t="s">
        <v>908</v>
      </c>
      <c r="F57" s="594" t="s">
        <v>891</v>
      </c>
      <c r="G57" s="602"/>
      <c r="H57" s="944"/>
      <c r="I57" s="602"/>
      <c r="J57" s="944"/>
      <c r="K57" s="224"/>
      <c r="X57" s="690">
        <v>0</v>
      </c>
    </row>
    <row r="58" spans="1:24" s="2004" customFormat="1" ht="11.25" hidden="1" customHeight="1">
      <c r="A58" s="3304"/>
      <c r="B58" s="445"/>
      <c r="D58" s="599" t="s">
        <v>918</v>
      </c>
      <c r="E58" s="601" t="s">
        <v>910</v>
      </c>
      <c r="F58" s="594" t="s">
        <v>891</v>
      </c>
      <c r="G58" s="602"/>
      <c r="H58" s="944"/>
      <c r="I58" s="602"/>
      <c r="J58" s="944"/>
      <c r="K58" s="224"/>
      <c r="X58" s="690">
        <v>0</v>
      </c>
    </row>
    <row r="59" spans="1:24" s="2004" customFormat="1" ht="11.25" hidden="1" customHeight="1">
      <c r="A59" s="3304"/>
      <c r="B59" s="445"/>
      <c r="D59" s="599" t="s">
        <v>919</v>
      </c>
      <c r="E59" s="601" t="s">
        <v>912</v>
      </c>
      <c r="F59" s="594" t="s">
        <v>891</v>
      </c>
      <c r="G59" s="602"/>
      <c r="H59" s="944"/>
      <c r="I59" s="602"/>
      <c r="J59" s="944"/>
      <c r="K59" s="224"/>
      <c r="X59" s="690">
        <v>0</v>
      </c>
    </row>
    <row r="60" spans="1:24" s="2004" customFormat="1" ht="33.75" hidden="1" customHeight="1">
      <c r="A60" s="3304"/>
      <c r="B60" s="445"/>
      <c r="D60" s="599" t="s">
        <v>93</v>
      </c>
      <c r="E60" s="600" t="s">
        <v>920</v>
      </c>
      <c r="F60" s="655" t="s">
        <v>591</v>
      </c>
      <c r="G60" s="676"/>
      <c r="H60" s="944"/>
      <c r="I60" s="676"/>
      <c r="J60" s="944"/>
      <c r="K60" s="237" t="s">
        <v>921</v>
      </c>
      <c r="X60" s="690">
        <v>0</v>
      </c>
    </row>
    <row r="61" spans="1:24" s="2004" customFormat="1" ht="33.75" hidden="1" customHeight="1">
      <c r="A61" s="3304"/>
      <c r="B61" s="445"/>
      <c r="D61" s="599" t="s">
        <v>94</v>
      </c>
      <c r="E61" s="600" t="s">
        <v>922</v>
      </c>
      <c r="F61" s="660" t="s">
        <v>852</v>
      </c>
      <c r="G61" s="602"/>
      <c r="H61" s="944"/>
      <c r="I61" s="602"/>
      <c r="J61" s="944"/>
      <c r="K61" s="224"/>
      <c r="X61" s="690">
        <v>0</v>
      </c>
    </row>
    <row r="62" spans="1:24" s="2004" customFormat="1" ht="22.5" hidden="1" customHeight="1">
      <c r="A62" s="3304"/>
      <c r="B62" s="445" t="s">
        <v>621</v>
      </c>
      <c r="D62" s="599" t="s">
        <v>126</v>
      </c>
      <c r="E62" s="600" t="s">
        <v>923</v>
      </c>
      <c r="F62" s="660" t="s">
        <v>341</v>
      </c>
      <c r="G62" s="316"/>
      <c r="H62" s="944"/>
      <c r="I62" s="316"/>
      <c r="J62" s="944"/>
      <c r="K62" s="224" t="s">
        <v>664</v>
      </c>
      <c r="X62" s="690">
        <v>0</v>
      </c>
    </row>
    <row r="63" spans="1:24" s="2004" customFormat="1" ht="45" hidden="1" customHeight="1">
      <c r="A63" s="3304"/>
      <c r="B63" s="445" t="s">
        <v>621</v>
      </c>
      <c r="D63" s="599" t="s">
        <v>924</v>
      </c>
      <c r="E63" s="601" t="s">
        <v>925</v>
      </c>
      <c r="F63" s="655" t="s">
        <v>341</v>
      </c>
      <c r="G63" s="316"/>
      <c r="H63" s="944"/>
      <c r="I63" s="316"/>
      <c r="J63" s="944"/>
      <c r="K63" s="224" t="s">
        <v>664</v>
      </c>
      <c r="X63" s="690">
        <v>0</v>
      </c>
    </row>
    <row r="64" spans="1:24" s="2004" customFormat="1" ht="11.5" customHeight="1">
      <c r="A64" s="954"/>
      <c r="B64" s="452"/>
      <c r="D64" s="955"/>
      <c r="E64" s="956"/>
      <c r="X64" s="443">
        <v>11</v>
      </c>
    </row>
    <row r="65" spans="1:24" s="2004" customFormat="1" ht="22.5" hidden="1" customHeight="1">
      <c r="A65" s="3304" t="s">
        <v>926</v>
      </c>
      <c r="B65" s="445"/>
      <c r="D65" s="599">
        <v>1</v>
      </c>
      <c r="E65" s="678" t="s">
        <v>927</v>
      </c>
      <c r="F65" s="674" t="s">
        <v>842</v>
      </c>
      <c r="G65" s="675"/>
      <c r="H65" s="950"/>
      <c r="I65" s="675"/>
      <c r="J65" s="950"/>
      <c r="K65" s="236" t="s">
        <v>928</v>
      </c>
      <c r="X65" s="690">
        <v>0</v>
      </c>
    </row>
    <row r="66" spans="1:24" s="2004" customFormat="1" ht="56.25" hidden="1" customHeight="1">
      <c r="A66" s="3304"/>
      <c r="B66" s="445"/>
      <c r="D66" s="677" t="s">
        <v>104</v>
      </c>
      <c r="E66" s="641" t="s">
        <v>929</v>
      </c>
      <c r="F66" s="594" t="s">
        <v>579</v>
      </c>
      <c r="G66" s="594" t="s">
        <v>579</v>
      </c>
      <c r="H66" s="453"/>
      <c r="I66" s="594" t="s">
        <v>579</v>
      </c>
      <c r="J66" s="453"/>
      <c r="K66" s="224"/>
      <c r="X66" s="690">
        <v>0</v>
      </c>
    </row>
    <row r="67" spans="1:24" s="2004" customFormat="1" ht="33.75" hidden="1" customHeight="1">
      <c r="A67" s="3304"/>
      <c r="B67" s="445"/>
      <c r="D67" s="677" t="s">
        <v>741</v>
      </c>
      <c r="E67" s="877" t="s">
        <v>930</v>
      </c>
      <c r="F67" s="594" t="s">
        <v>894</v>
      </c>
      <c r="G67" s="661"/>
      <c r="H67" s="453"/>
      <c r="I67" s="661"/>
      <c r="J67" s="453"/>
      <c r="K67" s="224"/>
      <c r="X67" s="690">
        <v>0</v>
      </c>
    </row>
    <row r="68" spans="1:24" s="2004" customFormat="1" ht="22.5" hidden="1" customHeight="1">
      <c r="A68" s="3304"/>
      <c r="B68" s="445"/>
      <c r="D68" s="677" t="s">
        <v>342</v>
      </c>
      <c r="E68" s="877" t="s">
        <v>931</v>
      </c>
      <c r="F68" s="594" t="s">
        <v>894</v>
      </c>
      <c r="G68" s="661"/>
      <c r="H68" s="453"/>
      <c r="I68" s="661"/>
      <c r="J68" s="453"/>
      <c r="K68" s="224"/>
      <c r="X68" s="690">
        <v>0</v>
      </c>
    </row>
    <row r="69" spans="1:24" s="2004" customFormat="1" ht="22.5" hidden="1" customHeight="1">
      <c r="A69" s="3304"/>
      <c r="B69" s="445"/>
      <c r="D69" s="677" t="s">
        <v>345</v>
      </c>
      <c r="E69" s="877" t="s">
        <v>932</v>
      </c>
      <c r="F69" s="655" t="s">
        <v>591</v>
      </c>
      <c r="G69" s="676"/>
      <c r="H69" s="453"/>
      <c r="I69" s="676"/>
      <c r="J69" s="453"/>
      <c r="K69" s="224"/>
      <c r="X69" s="690">
        <v>0</v>
      </c>
    </row>
    <row r="70" spans="1:24" s="2004" customFormat="1" ht="22.5" hidden="1" customHeight="1">
      <c r="A70" s="3304"/>
      <c r="B70" s="445"/>
      <c r="D70" s="677" t="s">
        <v>761</v>
      </c>
      <c r="E70" s="877" t="s">
        <v>933</v>
      </c>
      <c r="F70" s="655" t="s">
        <v>591</v>
      </c>
      <c r="G70" s="676"/>
      <c r="H70" s="453"/>
      <c r="I70" s="676"/>
      <c r="J70" s="453"/>
      <c r="K70" s="224"/>
      <c r="X70" s="690">
        <v>0</v>
      </c>
    </row>
    <row r="71" spans="1:24" s="2004" customFormat="1" ht="22.5" hidden="1" customHeight="1">
      <c r="A71" s="3304"/>
      <c r="B71" s="445"/>
      <c r="D71" s="599" t="s">
        <v>91</v>
      </c>
      <c r="E71" s="600" t="s">
        <v>934</v>
      </c>
      <c r="F71" s="594" t="s">
        <v>894</v>
      </c>
      <c r="G71" s="491"/>
      <c r="H71" s="951"/>
      <c r="I71" s="491"/>
      <c r="J71" s="951"/>
      <c r="K71" s="237"/>
      <c r="X71" s="690">
        <v>0</v>
      </c>
    </row>
    <row r="72" spans="1:24" s="2004" customFormat="1" ht="56.25" hidden="1" customHeight="1">
      <c r="A72" s="3304"/>
      <c r="B72" s="445"/>
      <c r="D72" s="599" t="s">
        <v>92</v>
      </c>
      <c r="E72" s="600" t="s">
        <v>935</v>
      </c>
      <c r="F72" s="655" t="s">
        <v>591</v>
      </c>
      <c r="G72" s="676"/>
      <c r="H72" s="944"/>
      <c r="I72" s="676"/>
      <c r="J72" s="944"/>
      <c r="K72" s="237"/>
      <c r="X72" s="690">
        <v>0</v>
      </c>
    </row>
    <row r="73" spans="1:24" s="2004" customFormat="1" ht="33.75" hidden="1" customHeight="1">
      <c r="A73" s="3304"/>
      <c r="B73" s="445"/>
      <c r="D73" s="599" t="s">
        <v>125</v>
      </c>
      <c r="E73" s="600" t="s">
        <v>936</v>
      </c>
      <c r="F73" s="660" t="s">
        <v>852</v>
      </c>
      <c r="G73" s="602"/>
      <c r="H73" s="944"/>
      <c r="I73" s="602"/>
      <c r="J73" s="944"/>
      <c r="K73" s="224"/>
      <c r="X73" s="690">
        <v>0</v>
      </c>
    </row>
    <row r="74" spans="1:24" s="2004" customFormat="1" ht="22.5" hidden="1" customHeight="1">
      <c r="A74" s="3304"/>
      <c r="B74" s="445" t="s">
        <v>621</v>
      </c>
      <c r="D74" s="599" t="s">
        <v>93</v>
      </c>
      <c r="E74" s="600" t="s">
        <v>937</v>
      </c>
      <c r="F74" s="660" t="s">
        <v>341</v>
      </c>
      <c r="G74" s="316"/>
      <c r="H74" s="944"/>
      <c r="I74" s="316"/>
      <c r="J74" s="944"/>
      <c r="K74" s="224" t="s">
        <v>664</v>
      </c>
      <c r="X74" s="690">
        <v>0</v>
      </c>
    </row>
    <row r="75" spans="1:24" s="2004" customFormat="1" ht="45" hidden="1" customHeight="1">
      <c r="A75" s="3304"/>
      <c r="B75" s="445" t="s">
        <v>621</v>
      </c>
      <c r="D75" s="599" t="s">
        <v>685</v>
      </c>
      <c r="E75" s="601" t="s">
        <v>938</v>
      </c>
      <c r="F75" s="655" t="s">
        <v>341</v>
      </c>
      <c r="G75" s="316"/>
      <c r="H75" s="944"/>
      <c r="I75" s="316"/>
      <c r="J75" s="944"/>
      <c r="K75" s="224" t="s">
        <v>664</v>
      </c>
      <c r="X75" s="690">
        <v>0</v>
      </c>
    </row>
    <row r="76" spans="1:24" s="2004" customFormat="1" ht="11.5" customHeight="1">
      <c r="A76" s="954"/>
      <c r="B76" s="452"/>
      <c r="D76" s="955"/>
      <c r="E76" s="956"/>
      <c r="X76" s="443">
        <v>11</v>
      </c>
    </row>
    <row r="77" spans="1:24" s="2004" customFormat="1" ht="11.25" hidden="1" customHeight="1">
      <c r="A77" s="3304" t="s">
        <v>939</v>
      </c>
      <c r="B77" s="445"/>
      <c r="D77" s="599">
        <v>1</v>
      </c>
      <c r="E77" s="600" t="s">
        <v>940</v>
      </c>
      <c r="F77" s="655" t="s">
        <v>842</v>
      </c>
      <c r="G77" s="658"/>
      <c r="H77" s="944"/>
      <c r="I77" s="658"/>
      <c r="J77" s="944"/>
      <c r="K77" s="224" t="s">
        <v>941</v>
      </c>
      <c r="X77" s="690">
        <v>0</v>
      </c>
    </row>
    <row r="78" spans="1:24" s="2004" customFormat="1" ht="11.25" hidden="1" customHeight="1">
      <c r="A78" s="3304"/>
      <c r="B78" s="445"/>
      <c r="D78" s="599" t="s">
        <v>104</v>
      </c>
      <c r="E78" s="600" t="s">
        <v>942</v>
      </c>
      <c r="F78" s="655" t="s">
        <v>842</v>
      </c>
      <c r="G78" s="658"/>
      <c r="H78" s="944"/>
      <c r="I78" s="658"/>
      <c r="J78" s="944"/>
      <c r="K78" s="224" t="s">
        <v>943</v>
      </c>
      <c r="X78" s="690">
        <v>0</v>
      </c>
    </row>
    <row r="79" spans="1:24" s="2004" customFormat="1" ht="22.5" hidden="1" customHeight="1">
      <c r="A79" s="3304"/>
      <c r="B79" s="445"/>
      <c r="D79" s="599" t="s">
        <v>91</v>
      </c>
      <c r="E79" s="656" t="s">
        <v>944</v>
      </c>
      <c r="F79" s="594" t="s">
        <v>891</v>
      </c>
      <c r="G79" s="658"/>
      <c r="H79" s="944"/>
      <c r="I79" s="658"/>
      <c r="J79" s="944"/>
      <c r="K79" s="224" t="s">
        <v>945</v>
      </c>
      <c r="X79" s="690">
        <v>0</v>
      </c>
    </row>
    <row r="80" spans="1:24" s="2004" customFormat="1" ht="11.25" hidden="1" customHeight="1">
      <c r="A80" s="3304"/>
      <c r="B80" s="445"/>
      <c r="D80" s="599" t="s">
        <v>359</v>
      </c>
      <c r="E80" s="657" t="s">
        <v>946</v>
      </c>
      <c r="F80" s="594" t="s">
        <v>891</v>
      </c>
      <c r="G80" s="658"/>
      <c r="H80" s="944"/>
      <c r="I80" s="658"/>
      <c r="J80" s="944"/>
      <c r="K80" s="224"/>
      <c r="X80" s="690">
        <v>0</v>
      </c>
    </row>
    <row r="81" spans="1:24" s="2004" customFormat="1" ht="11.25" hidden="1" customHeight="1">
      <c r="A81" s="3304"/>
      <c r="B81" s="445"/>
      <c r="D81" s="599" t="s">
        <v>367</v>
      </c>
      <c r="E81" s="657" t="s">
        <v>947</v>
      </c>
      <c r="F81" s="594" t="s">
        <v>891</v>
      </c>
      <c r="G81" s="658"/>
      <c r="H81" s="944"/>
      <c r="I81" s="658"/>
      <c r="J81" s="944"/>
      <c r="K81" s="224"/>
      <c r="X81" s="690">
        <v>0</v>
      </c>
    </row>
    <row r="82" spans="1:24" s="2004" customFormat="1" ht="11.25" hidden="1" customHeight="1">
      <c r="A82" s="3304"/>
      <c r="B82" s="445"/>
      <c r="D82" s="599" t="s">
        <v>369</v>
      </c>
      <c r="E82" s="657" t="s">
        <v>948</v>
      </c>
      <c r="F82" s="594" t="s">
        <v>891</v>
      </c>
      <c r="G82" s="658"/>
      <c r="H82" s="944"/>
      <c r="I82" s="658"/>
      <c r="J82" s="944"/>
      <c r="K82" s="224"/>
      <c r="X82" s="690">
        <v>0</v>
      </c>
    </row>
    <row r="83" spans="1:24" s="2004" customFormat="1" ht="11.25" hidden="1" customHeight="1">
      <c r="A83" s="3304"/>
      <c r="B83" s="445"/>
      <c r="D83" s="599" t="s">
        <v>371</v>
      </c>
      <c r="E83" s="657" t="s">
        <v>949</v>
      </c>
      <c r="F83" s="594" t="s">
        <v>891</v>
      </c>
      <c r="G83" s="658"/>
      <c r="H83" s="944"/>
      <c r="I83" s="658"/>
      <c r="J83" s="944"/>
      <c r="K83" s="224"/>
      <c r="X83" s="690">
        <v>0</v>
      </c>
    </row>
    <row r="84" spans="1:24" s="2004" customFormat="1" ht="11.25" hidden="1" customHeight="1">
      <c r="A84" s="3304"/>
      <c r="B84" s="445"/>
      <c r="D84" s="599" t="s">
        <v>950</v>
      </c>
      <c r="E84" s="657" t="s">
        <v>951</v>
      </c>
      <c r="F84" s="594" t="s">
        <v>891</v>
      </c>
      <c r="G84" s="658"/>
      <c r="H84" s="944"/>
      <c r="I84" s="658"/>
      <c r="J84" s="944"/>
      <c r="K84" s="224"/>
      <c r="X84" s="690">
        <v>0</v>
      </c>
    </row>
    <row r="85" spans="1:24" s="2004" customFormat="1" ht="11.25" hidden="1" customHeight="1">
      <c r="A85" s="3304"/>
      <c r="B85" s="445"/>
      <c r="D85" s="599" t="s">
        <v>952</v>
      </c>
      <c r="E85" s="657" t="s">
        <v>953</v>
      </c>
      <c r="F85" s="594" t="s">
        <v>891</v>
      </c>
      <c r="G85" s="658"/>
      <c r="H85" s="944"/>
      <c r="I85" s="658"/>
      <c r="J85" s="944"/>
      <c r="K85" s="224"/>
      <c r="X85" s="690">
        <v>0</v>
      </c>
    </row>
    <row r="86" spans="1:24" s="2004" customFormat="1" ht="11.25" hidden="1" customHeight="1">
      <c r="A86" s="3304"/>
      <c r="B86" s="445"/>
      <c r="D86" s="599" t="s">
        <v>954</v>
      </c>
      <c r="E86" s="657" t="s">
        <v>955</v>
      </c>
      <c r="F86" s="594" t="s">
        <v>891</v>
      </c>
      <c r="G86" s="658"/>
      <c r="H86" s="944"/>
      <c r="I86" s="658"/>
      <c r="J86" s="944"/>
      <c r="K86" s="224"/>
      <c r="X86" s="690">
        <v>0</v>
      </c>
    </row>
    <row r="87" spans="1:24" s="2004" customFormat="1" ht="45" hidden="1" customHeight="1">
      <c r="A87" s="3304"/>
      <c r="B87" s="445"/>
      <c r="D87" s="599" t="s">
        <v>92</v>
      </c>
      <c r="E87" s="600" t="s">
        <v>956</v>
      </c>
      <c r="F87" s="594" t="s">
        <v>891</v>
      </c>
      <c r="G87" s="658"/>
      <c r="H87" s="944"/>
      <c r="I87" s="658"/>
      <c r="J87" s="944"/>
      <c r="K87" s="224" t="s">
        <v>957</v>
      </c>
      <c r="X87" s="690">
        <v>0</v>
      </c>
    </row>
    <row r="88" spans="1:24" s="2004" customFormat="1" ht="11.25" hidden="1" customHeight="1">
      <c r="A88" s="3304"/>
      <c r="B88" s="445"/>
      <c r="D88" s="599" t="s">
        <v>786</v>
      </c>
      <c r="E88" s="657" t="s">
        <v>946</v>
      </c>
      <c r="F88" s="594" t="s">
        <v>891</v>
      </c>
      <c r="G88" s="658"/>
      <c r="H88" s="944"/>
      <c r="I88" s="658"/>
      <c r="J88" s="944"/>
      <c r="K88" s="224"/>
      <c r="X88" s="690">
        <v>0</v>
      </c>
    </row>
    <row r="89" spans="1:24" s="2004" customFormat="1" ht="11.25" hidden="1" customHeight="1">
      <c r="A89" s="3304"/>
      <c r="B89" s="445"/>
      <c r="D89" s="599" t="s">
        <v>828</v>
      </c>
      <c r="E89" s="657" t="s">
        <v>947</v>
      </c>
      <c r="F89" s="594" t="s">
        <v>891</v>
      </c>
      <c r="G89" s="658"/>
      <c r="H89" s="944"/>
      <c r="I89" s="658"/>
      <c r="J89" s="944"/>
      <c r="K89" s="224"/>
      <c r="X89" s="690">
        <v>0</v>
      </c>
    </row>
    <row r="90" spans="1:24" s="2004" customFormat="1" ht="11.25" hidden="1" customHeight="1">
      <c r="A90" s="3304"/>
      <c r="B90" s="445"/>
      <c r="D90" s="599" t="s">
        <v>831</v>
      </c>
      <c r="E90" s="657" t="s">
        <v>948</v>
      </c>
      <c r="F90" s="594" t="s">
        <v>891</v>
      </c>
      <c r="G90" s="658"/>
      <c r="H90" s="944"/>
      <c r="I90" s="658"/>
      <c r="J90" s="944"/>
      <c r="K90" s="224"/>
      <c r="X90" s="690">
        <v>0</v>
      </c>
    </row>
    <row r="91" spans="1:24" s="2004" customFormat="1" ht="11.25" hidden="1" customHeight="1">
      <c r="A91" s="3304"/>
      <c r="B91" s="445"/>
      <c r="D91" s="599" t="s">
        <v>909</v>
      </c>
      <c r="E91" s="657" t="s">
        <v>949</v>
      </c>
      <c r="F91" s="594" t="s">
        <v>891</v>
      </c>
      <c r="G91" s="658"/>
      <c r="H91" s="944"/>
      <c r="I91" s="658"/>
      <c r="J91" s="944"/>
      <c r="K91" s="224"/>
      <c r="X91" s="690">
        <v>0</v>
      </c>
    </row>
    <row r="92" spans="1:24" s="2004" customFormat="1" ht="11.25" hidden="1" customHeight="1">
      <c r="A92" s="3304"/>
      <c r="B92" s="445"/>
      <c r="D92" s="599" t="s">
        <v>911</v>
      </c>
      <c r="E92" s="657" t="s">
        <v>951</v>
      </c>
      <c r="F92" s="594" t="s">
        <v>891</v>
      </c>
      <c r="G92" s="658"/>
      <c r="H92" s="944"/>
      <c r="I92" s="658"/>
      <c r="J92" s="944"/>
      <c r="K92" s="224"/>
      <c r="X92" s="690">
        <v>0</v>
      </c>
    </row>
    <row r="93" spans="1:24" s="2004" customFormat="1" ht="11.25" hidden="1" customHeight="1">
      <c r="A93" s="3304"/>
      <c r="B93" s="445"/>
      <c r="D93" s="599" t="s">
        <v>958</v>
      </c>
      <c r="E93" s="657" t="s">
        <v>953</v>
      </c>
      <c r="F93" s="594" t="s">
        <v>891</v>
      </c>
      <c r="G93" s="658"/>
      <c r="H93" s="944"/>
      <c r="I93" s="658"/>
      <c r="J93" s="944"/>
      <c r="K93" s="224"/>
      <c r="X93" s="690">
        <v>0</v>
      </c>
    </row>
    <row r="94" spans="1:24" s="2004" customFormat="1" ht="11.25" hidden="1" customHeight="1">
      <c r="A94" s="3304"/>
      <c r="B94" s="445"/>
      <c r="D94" s="599" t="s">
        <v>959</v>
      </c>
      <c r="E94" s="657" t="s">
        <v>955</v>
      </c>
      <c r="F94" s="594" t="s">
        <v>891</v>
      </c>
      <c r="G94" s="658"/>
      <c r="H94" s="944"/>
      <c r="I94" s="658"/>
      <c r="J94" s="944"/>
      <c r="K94" s="224"/>
      <c r="X94" s="690">
        <v>0</v>
      </c>
    </row>
    <row r="95" spans="1:24" s="2004" customFormat="1" ht="24.75" hidden="1" customHeight="1">
      <c r="A95" s="3304"/>
      <c r="B95" s="445"/>
      <c r="D95" s="599" t="s">
        <v>125</v>
      </c>
      <c r="E95" s="600" t="s">
        <v>960</v>
      </c>
      <c r="F95" s="659" t="s">
        <v>591</v>
      </c>
      <c r="G95" s="661"/>
      <c r="H95" s="944"/>
      <c r="I95" s="661"/>
      <c r="J95" s="944"/>
      <c r="K95" s="224" t="s">
        <v>961</v>
      </c>
      <c r="X95" s="690">
        <v>0</v>
      </c>
    </row>
    <row r="96" spans="1:24" s="2004" customFormat="1" ht="33.75" hidden="1" customHeight="1">
      <c r="A96" s="3304"/>
      <c r="B96" s="445"/>
      <c r="D96" s="599" t="s">
        <v>93</v>
      </c>
      <c r="E96" s="600" t="s">
        <v>962</v>
      </c>
      <c r="F96" s="660" t="s">
        <v>852</v>
      </c>
      <c r="G96" s="662"/>
      <c r="H96" s="944"/>
      <c r="I96" s="662"/>
      <c r="J96" s="944"/>
      <c r="K96" s="224"/>
      <c r="X96" s="690">
        <v>0</v>
      </c>
    </row>
    <row r="97" spans="1:24" s="2004" customFormat="1" ht="22.5" hidden="1" customHeight="1">
      <c r="A97" s="3304"/>
      <c r="B97" s="445" t="s">
        <v>621</v>
      </c>
      <c r="D97" s="599" t="s">
        <v>94</v>
      </c>
      <c r="E97" s="600" t="s">
        <v>963</v>
      </c>
      <c r="F97" s="660" t="s">
        <v>341</v>
      </c>
      <c r="G97" s="319"/>
      <c r="H97" s="944"/>
      <c r="I97" s="319"/>
      <c r="J97" s="944"/>
      <c r="K97" s="224" t="s">
        <v>664</v>
      </c>
      <c r="X97" s="690">
        <v>0</v>
      </c>
    </row>
    <row r="98" spans="1:24" s="2004" customFormat="1" ht="45" hidden="1" customHeight="1">
      <c r="A98" s="3304"/>
      <c r="B98" s="445" t="s">
        <v>621</v>
      </c>
      <c r="D98" s="599" t="s">
        <v>964</v>
      </c>
      <c r="E98" s="601" t="s">
        <v>965</v>
      </c>
      <c r="F98" s="655" t="s">
        <v>341</v>
      </c>
      <c r="G98" s="319"/>
      <c r="H98" s="944"/>
      <c r="I98" s="319"/>
      <c r="J98" s="944"/>
      <c r="K98" s="224" t="s">
        <v>664</v>
      </c>
      <c r="X98" s="690">
        <v>0</v>
      </c>
    </row>
    <row r="99" spans="1:24" s="2004" customFormat="1" ht="95.25" hidden="1" customHeight="1">
      <c r="A99" s="3304"/>
      <c r="B99" s="445" t="s">
        <v>621</v>
      </c>
      <c r="D99" s="599" t="s">
        <v>126</v>
      </c>
      <c r="E99" s="600" t="s">
        <v>966</v>
      </c>
      <c r="F99" s="655" t="s">
        <v>341</v>
      </c>
      <c r="G99" s="319"/>
      <c r="H99" s="944"/>
      <c r="I99" s="319"/>
      <c r="J99" s="944"/>
      <c r="K99" s="224" t="s">
        <v>664</v>
      </c>
      <c r="X99" s="690">
        <v>0</v>
      </c>
    </row>
    <row r="100" spans="1:24" s="2004" customFormat="1" ht="22.5" hidden="1" customHeight="1">
      <c r="A100" s="3304"/>
      <c r="B100" s="445" t="s">
        <v>621</v>
      </c>
      <c r="D100" s="599" t="s">
        <v>107</v>
      </c>
      <c r="E100" s="600" t="s">
        <v>967</v>
      </c>
      <c r="F100" s="655" t="s">
        <v>341</v>
      </c>
      <c r="G100" s="319"/>
      <c r="H100" s="944"/>
      <c r="I100" s="319"/>
      <c r="J100" s="944"/>
      <c r="K100" s="224" t="s">
        <v>664</v>
      </c>
      <c r="X100" s="690">
        <v>0</v>
      </c>
    </row>
    <row r="101" spans="1:24" s="2004" customFormat="1" ht="11.5" customHeight="1">
      <c r="A101" s="954"/>
      <c r="B101" s="452"/>
      <c r="D101" s="955"/>
      <c r="E101" s="956"/>
      <c r="X101" s="443">
        <v>11</v>
      </c>
    </row>
    <row r="102" spans="1:24" ht="22.5" hidden="1" customHeight="1">
      <c r="A102" s="470" t="s">
        <v>83</v>
      </c>
      <c r="B102" s="445">
        <v>0</v>
      </c>
      <c r="C102" s="439">
        <v>3</v>
      </c>
      <c r="D102" s="439">
        <v>7</v>
      </c>
      <c r="E102" s="439">
        <v>69</v>
      </c>
      <c r="F102" s="439">
        <v>10</v>
      </c>
      <c r="G102" s="439">
        <v>0</v>
      </c>
      <c r="H102" s="439">
        <v>0</v>
      </c>
      <c r="I102" s="690">
        <v>43</v>
      </c>
      <c r="J102" s="690">
        <v>43</v>
      </c>
      <c r="K102" s="439">
        <v>73</v>
      </c>
      <c r="L102" s="439">
        <v>3</v>
      </c>
      <c r="M102" s="439">
        <v>10</v>
      </c>
      <c r="N102" s="439">
        <v>10</v>
      </c>
      <c r="O102" s="439">
        <v>10</v>
      </c>
      <c r="P102" s="439">
        <v>10</v>
      </c>
      <c r="Q102" s="439">
        <v>10</v>
      </c>
      <c r="R102" s="439">
        <v>10</v>
      </c>
      <c r="S102" s="439">
        <v>10</v>
      </c>
      <c r="T102" s="439">
        <v>10</v>
      </c>
      <c r="U102" s="439">
        <v>10</v>
      </c>
      <c r="V102" s="439">
        <v>10</v>
      </c>
      <c r="W102" s="439">
        <v>10</v>
      </c>
      <c r="X102" s="439">
        <v>23</v>
      </c>
    </row>
  </sheetData>
  <sheetProtection formatColumns="0" formatRows="0" insertRows="0" deleteColumns="0" deleteRows="0" sort="0" autoFilter="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xr:uid="{00000000-0002-0000-2600-000000000000}">
      <formula1>"Не утверждены"</formula1>
    </dataValidation>
    <dataValidation type="decimal" allowBlank="1" showErrorMessage="1" errorTitle="Ошибка" error="Введите значение от 0 до 100%" sqref="G31 G95 G60 G72 G42:G43 G69:G70 I31 I95 I60 I72 I42:I43 I69:I70" xr:uid="{00000000-0002-0000-2600-00000100000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xr:uid="{00000000-0002-0000-2600-000002000000}">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xr:uid="{00000000-0002-0000-2600-000003000000}">
      <formula1>0</formula1>
      <formula2>9.99999999999999E+23</formula2>
    </dataValidation>
    <dataValidation type="whole" allowBlank="1" showErrorMessage="1" errorTitle="Ошибка" error="Допускается ввод только неотрицательных целых чисел!" sqref="G16:G17 I16:I17" xr:uid="{00000000-0002-0000-2600-000004000000}">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xr:uid="{00000000-0002-0000-2600-000005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6C30A8-7E0B-2BFC-0969-0D832CC6D62D}">
  <sheetPr>
    <tabColor rgb="FFE26B0A"/>
  </sheetPr>
  <dimension ref="A1:V40"/>
  <sheetViews>
    <sheetView showGridLines="0" topLeftCell="C21" zoomScale="90" workbookViewId="0"/>
  </sheetViews>
  <sheetFormatPr defaultColWidth="10.59765625" defaultRowHeight="15" customHeight="1"/>
  <cols>
    <col min="1" max="1" width="9.09765625" style="2002" hidden="1" customWidth="1"/>
    <col min="2" max="2" width="9.09765625" style="2004" hidden="1" customWidth="1"/>
    <col min="3" max="3" width="4" style="2987" customWidth="1"/>
    <col min="4" max="4" width="6" style="2004" customWidth="1"/>
    <col min="5" max="5" width="36" style="2004" customWidth="1"/>
    <col min="6" max="6" width="9" style="2004" customWidth="1"/>
    <col min="7" max="7" width="25.69921875" style="2004" hidden="1" customWidth="1"/>
    <col min="8" max="8" width="33.69921875" style="2004" hidden="1" customWidth="1"/>
    <col min="9" max="9" width="25.69921875" style="2004" customWidth="1"/>
    <col min="10" max="10" width="33" style="2004" customWidth="1"/>
    <col min="11" max="11" width="93" style="2016" customWidth="1"/>
    <col min="12" max="20" width="10" style="2004" customWidth="1"/>
    <col min="21" max="21" width="10" style="2985" customWidth="1"/>
    <col min="22" max="22" width="10.59765625" style="2004" hidden="1"/>
  </cols>
  <sheetData>
    <row r="1" spans="1:22" s="2016" customFormat="1" ht="22.5" hidden="1" customHeight="1">
      <c r="C1" s="606"/>
      <c r="G1" s="351">
        <v>4</v>
      </c>
      <c r="I1" s="351">
        <v>4</v>
      </c>
      <c r="U1" s="354"/>
      <c r="V1" s="351" t="s">
        <v>14</v>
      </c>
    </row>
    <row r="2" spans="1:22" s="2016" customFormat="1" ht="15" hidden="1" customHeight="1">
      <c r="C2" s="606"/>
      <c r="U2" s="354"/>
      <c r="V2" s="351">
        <v>0</v>
      </c>
    </row>
    <row r="3" spans="1:22" ht="22.5" hidden="1" customHeight="1">
      <c r="A3" s="439"/>
      <c r="B3" s="3309"/>
      <c r="C3" s="3310" t="s">
        <v>105</v>
      </c>
      <c r="D3" s="623" t="str">
        <f>B3&amp;".1"</f>
        <v>.1</v>
      </c>
      <c r="E3" s="624" t="s">
        <v>968</v>
      </c>
      <c r="F3" s="625" t="s">
        <v>341</v>
      </c>
      <c r="G3" s="620"/>
      <c r="H3" s="335"/>
      <c r="I3" s="620"/>
      <c r="J3" s="335"/>
      <c r="K3" s="224" t="s">
        <v>969</v>
      </c>
      <c r="V3" s="439">
        <v>0</v>
      </c>
    </row>
    <row r="4" spans="1:22" ht="15" hidden="1" customHeight="1">
      <c r="A4" s="439"/>
      <c r="B4" s="3309"/>
      <c r="C4" s="3310"/>
      <c r="D4" s="623" t="str">
        <f>B3&amp;".2"</f>
        <v>.2</v>
      </c>
      <c r="E4" s="624" t="s">
        <v>970</v>
      </c>
      <c r="F4" s="625" t="s">
        <v>341</v>
      </c>
      <c r="G4" s="1654" t="s">
        <v>28</v>
      </c>
      <c r="H4" s="335"/>
      <c r="I4" s="1654" t="s">
        <v>28</v>
      </c>
      <c r="J4" s="335"/>
      <c r="K4" s="224" t="s">
        <v>971</v>
      </c>
      <c r="V4" s="439">
        <v>0</v>
      </c>
    </row>
    <row r="5" spans="1:22" s="2016" customFormat="1" ht="15" hidden="1" customHeight="1">
      <c r="C5" s="606"/>
      <c r="U5" s="354"/>
      <c r="V5" s="351">
        <v>0</v>
      </c>
    </row>
    <row r="6" spans="1:22" ht="22.5" hidden="1" customHeight="1">
      <c r="A6" s="439"/>
      <c r="B6" s="3309"/>
      <c r="C6" s="3310" t="s">
        <v>105</v>
      </c>
      <c r="D6" s="623" t="str">
        <f>B6&amp;".1"</f>
        <v>.1</v>
      </c>
      <c r="E6" s="624" t="s">
        <v>972</v>
      </c>
      <c r="F6" s="625" t="s">
        <v>341</v>
      </c>
      <c r="G6" s="620"/>
      <c r="H6" s="335"/>
      <c r="I6" s="620"/>
      <c r="J6" s="335"/>
      <c r="K6" s="224" t="s">
        <v>973</v>
      </c>
      <c r="V6" s="439">
        <v>0</v>
      </c>
    </row>
    <row r="7" spans="1:22" ht="15" hidden="1" customHeight="1">
      <c r="A7" s="439"/>
      <c r="B7" s="3309"/>
      <c r="C7" s="3310"/>
      <c r="D7" s="623" t="str">
        <f>B6&amp;".2"</f>
        <v>.2</v>
      </c>
      <c r="E7" s="624" t="s">
        <v>970</v>
      </c>
      <c r="F7" s="625" t="s">
        <v>341</v>
      </c>
      <c r="G7" s="1654" t="s">
        <v>28</v>
      </c>
      <c r="H7" s="335"/>
      <c r="I7" s="1654" t="s">
        <v>28</v>
      </c>
      <c r="J7" s="335"/>
      <c r="K7" s="224" t="s">
        <v>971</v>
      </c>
      <c r="V7" s="439">
        <v>0</v>
      </c>
    </row>
    <row r="8" spans="1:22" s="2016" customFormat="1" ht="15" hidden="1" customHeight="1">
      <c r="C8" s="606"/>
      <c r="U8" s="354"/>
      <c r="V8" s="351">
        <v>0</v>
      </c>
    </row>
    <row r="9" spans="1:22" ht="22.5" hidden="1" customHeight="1">
      <c r="A9" s="439"/>
      <c r="B9" s="3309"/>
      <c r="C9" s="3310" t="s">
        <v>105</v>
      </c>
      <c r="D9" s="623" t="str">
        <f>B9&amp;".1"</f>
        <v>.1</v>
      </c>
      <c r="E9" s="624" t="s">
        <v>974</v>
      </c>
      <c r="F9" s="625" t="s">
        <v>341</v>
      </c>
      <c r="G9" s="631" t="s">
        <v>28</v>
      </c>
      <c r="H9" s="335" t="s">
        <v>28</v>
      </c>
      <c r="I9" s="631" t="s">
        <v>28</v>
      </c>
      <c r="J9" s="335" t="s">
        <v>28</v>
      </c>
      <c r="K9" s="224"/>
      <c r="V9" s="439">
        <v>0</v>
      </c>
    </row>
    <row r="10" spans="1:22" ht="15" hidden="1" customHeight="1">
      <c r="A10" s="439"/>
      <c r="B10" s="3309"/>
      <c r="C10" s="3310"/>
      <c r="D10" s="623" t="str">
        <f>B9&amp;".2"</f>
        <v>.2</v>
      </c>
      <c r="E10" s="624" t="s">
        <v>975</v>
      </c>
      <c r="F10" s="625" t="s">
        <v>341</v>
      </c>
      <c r="G10" s="1648" t="s">
        <v>28</v>
      </c>
      <c r="H10" s="335" t="s">
        <v>28</v>
      </c>
      <c r="I10" s="1648" t="s">
        <v>28</v>
      </c>
      <c r="J10" s="335" t="s">
        <v>28</v>
      </c>
      <c r="K10" s="224" t="s">
        <v>976</v>
      </c>
      <c r="V10" s="439">
        <v>0</v>
      </c>
    </row>
    <row r="11" spans="1:22" ht="15" hidden="1" customHeight="1">
      <c r="A11" s="439"/>
      <c r="B11" s="3309"/>
      <c r="C11" s="3310"/>
      <c r="D11" s="623" t="str">
        <f>B9&amp;".3"</f>
        <v>.3</v>
      </c>
      <c r="E11" s="624" t="s">
        <v>977</v>
      </c>
      <c r="F11" s="625" t="s">
        <v>341</v>
      </c>
      <c r="G11" s="1648" t="s">
        <v>28</v>
      </c>
      <c r="H11" s="335" t="s">
        <v>28</v>
      </c>
      <c r="I11" s="1648" t="s">
        <v>28</v>
      </c>
      <c r="J11" s="335" t="s">
        <v>28</v>
      </c>
      <c r="K11" s="224" t="s">
        <v>978</v>
      </c>
      <c r="V11" s="439">
        <v>0</v>
      </c>
    </row>
    <row r="12" spans="1:22" s="2016" customFormat="1" ht="15" hidden="1" customHeight="1">
      <c r="C12" s="606"/>
      <c r="U12" s="354"/>
      <c r="V12" s="351">
        <v>0</v>
      </c>
    </row>
    <row r="13" spans="1:22" ht="33.75" hidden="1" customHeight="1">
      <c r="A13" s="439"/>
      <c r="B13" s="3309"/>
      <c r="C13" s="3310" t="s">
        <v>105</v>
      </c>
      <c r="D13" s="623" t="str">
        <f>B13&amp;".1"</f>
        <v>.1</v>
      </c>
      <c r="E13" s="624" t="s">
        <v>979</v>
      </c>
      <c r="F13" s="625" t="s">
        <v>341</v>
      </c>
      <c r="G13" s="631" t="s">
        <v>28</v>
      </c>
      <c r="H13" s="335" t="s">
        <v>28</v>
      </c>
      <c r="I13" s="631" t="s">
        <v>28</v>
      </c>
      <c r="J13" s="335" t="s">
        <v>28</v>
      </c>
      <c r="K13" s="224" t="s">
        <v>980</v>
      </c>
      <c r="V13" s="439">
        <v>0</v>
      </c>
    </row>
    <row r="14" spans="1:22" ht="15" hidden="1" customHeight="1">
      <c r="B14" s="3309"/>
      <c r="C14" s="3310"/>
      <c r="D14" s="623" t="str">
        <f>B13&amp;".2"</f>
        <v>.2</v>
      </c>
      <c r="E14" s="624" t="s">
        <v>981</v>
      </c>
      <c r="F14" s="625" t="s">
        <v>341</v>
      </c>
      <c r="G14" s="1648" t="s">
        <v>28</v>
      </c>
      <c r="H14" s="335" t="s">
        <v>28</v>
      </c>
      <c r="I14" s="1648" t="s">
        <v>28</v>
      </c>
      <c r="J14" s="335" t="s">
        <v>28</v>
      </c>
      <c r="K14" s="224" t="s">
        <v>982</v>
      </c>
      <c r="V14" s="439">
        <v>0</v>
      </c>
    </row>
    <row r="15" spans="1:22" s="2016" customFormat="1" ht="15" hidden="1" customHeight="1">
      <c r="C15" s="606"/>
      <c r="U15" s="354"/>
      <c r="V15" s="351">
        <v>0</v>
      </c>
    </row>
    <row r="16" spans="1:22" s="2016" customFormat="1" ht="15" hidden="1" customHeight="1">
      <c r="C16" s="606"/>
      <c r="U16" s="354"/>
      <c r="V16" s="351">
        <v>0</v>
      </c>
    </row>
    <row r="17" spans="1:22" s="2016" customFormat="1" ht="15" hidden="1" customHeight="1">
      <c r="C17" s="606"/>
      <c r="U17" s="354"/>
      <c r="V17" s="351">
        <v>0</v>
      </c>
    </row>
    <row r="18" spans="1:22" s="2016" customFormat="1" ht="15" hidden="1" customHeight="1">
      <c r="C18" s="606"/>
      <c r="U18" s="354"/>
      <c r="V18" s="351">
        <v>0</v>
      </c>
    </row>
    <row r="19" spans="1:22" s="2016" customFormat="1" ht="15" hidden="1" customHeight="1">
      <c r="C19" s="606"/>
      <c r="U19" s="354"/>
      <c r="V19" s="351">
        <v>0</v>
      </c>
    </row>
    <row r="20" spans="1:22" s="2016" customFormat="1" ht="15" hidden="1" customHeight="1">
      <c r="C20" s="606"/>
      <c r="U20" s="354"/>
      <c r="V20" s="351">
        <v>0</v>
      </c>
    </row>
    <row r="21" spans="1:22" ht="15.75" customHeight="1">
      <c r="C21" s="111"/>
      <c r="D21" s="443"/>
      <c r="E21" s="443"/>
      <c r="F21" s="443"/>
      <c r="G21" s="443"/>
      <c r="H21" s="443"/>
      <c r="I21" s="443"/>
      <c r="J21" s="443"/>
      <c r="V21" s="439">
        <v>15</v>
      </c>
    </row>
    <row r="22" spans="1:22" ht="23.25" customHeight="1">
      <c r="C22" s="111"/>
      <c r="D22" s="3183"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3183"/>
      <c r="F22" s="3183"/>
      <c r="G22" s="3183"/>
      <c r="H22" s="3183"/>
      <c r="I22" s="3183"/>
      <c r="J22" s="610"/>
      <c r="K22" s="471"/>
      <c r="V22" s="439">
        <v>22</v>
      </c>
    </row>
    <row r="23" spans="1:22" ht="15.75" customHeight="1">
      <c r="C23" s="111"/>
      <c r="D23" s="3131" t="str">
        <f>IF(org=0,"Не определено",org)</f>
        <v>ООО "РСО"</v>
      </c>
      <c r="E23" s="3131"/>
      <c r="F23" s="3131"/>
      <c r="G23" s="3131"/>
      <c r="H23" s="3131"/>
      <c r="I23" s="3131"/>
      <c r="J23" s="610"/>
      <c r="K23" s="471"/>
      <c r="V23" s="439">
        <v>15</v>
      </c>
    </row>
    <row r="24" spans="1:22" ht="15.75" customHeight="1">
      <c r="C24" s="111"/>
      <c r="D24" s="443"/>
      <c r="E24" s="443"/>
      <c r="F24" s="443"/>
      <c r="G24" s="471">
        <v>22</v>
      </c>
      <c r="H24" s="686"/>
      <c r="I24" s="471">
        <v>22</v>
      </c>
      <c r="J24" s="686"/>
      <c r="V24" s="439">
        <v>15</v>
      </c>
    </row>
    <row r="25" spans="1:22" s="2004" customFormat="1" ht="1" customHeight="1">
      <c r="A25" s="691"/>
      <c r="C25" s="111"/>
      <c r="D25" s="443"/>
      <c r="E25" s="443"/>
      <c r="F25" s="443"/>
      <c r="G25" s="471"/>
      <c r="H25" s="686"/>
      <c r="I25" s="471" t="s">
        <v>131</v>
      </c>
      <c r="J25" s="686"/>
      <c r="K25" s="351"/>
      <c r="U25" s="609"/>
      <c r="V25" s="690">
        <v>1</v>
      </c>
    </row>
    <row r="26" spans="1:22" ht="15.75" customHeight="1">
      <c r="C26" s="111"/>
      <c r="D26" s="645"/>
      <c r="E26" s="3282" t="s">
        <v>120</v>
      </c>
      <c r="F26" s="3283"/>
      <c r="G26" s="3307" t="str">
        <f>IF(G25="","",INDEX(DIFFERENTIATION_UNMERGE_VD,MATCH(G25,DIFFERENTIATION_ID_DIFF,0)))</f>
        <v/>
      </c>
      <c r="H26" s="3308"/>
      <c r="I26" s="3307">
        <f>IF(I25="","",INDEX(DIFFERENTIATION_UNMERGE_VD,MATCH(I25,DIFFERENTIATION_ID_DIFF,0)))</f>
        <v>0</v>
      </c>
      <c r="J26" s="3308"/>
      <c r="K26" s="3130" t="s">
        <v>336</v>
      </c>
      <c r="V26" s="439">
        <v>15</v>
      </c>
    </row>
    <row r="27" spans="1:22" s="2004" customFormat="1" ht="15.75" customHeight="1">
      <c r="A27" s="691"/>
      <c r="C27" s="111"/>
      <c r="D27" s="645"/>
      <c r="E27" s="3282" t="s">
        <v>597</v>
      </c>
      <c r="F27" s="3283"/>
      <c r="G27" s="3307" t="str">
        <f>IF(G25="","",INDEX(DIFFERENTIATION_UNMERGE_AREA,MATCH(G25,DIFFERENTIATION_ID_DIFF,0)))</f>
        <v/>
      </c>
      <c r="H27" s="3308"/>
      <c r="I27" s="3307" t="str">
        <f>IF(I25="","",INDEX(DIFFERENTIATION_UNMERGE_AREA,MATCH(I25,DIFFERENTIATION_ID_DIFF,0)))</f>
        <v/>
      </c>
      <c r="J27" s="3308"/>
      <c r="K27" s="3148"/>
      <c r="U27" s="609"/>
      <c r="V27" s="690">
        <v>15</v>
      </c>
    </row>
    <row r="28" spans="1:22" s="2004" customFormat="1" ht="15.75" customHeight="1">
      <c r="A28" s="691"/>
      <c r="C28" s="111"/>
      <c r="D28" s="645"/>
      <c r="E28" s="3282" t="s">
        <v>598</v>
      </c>
      <c r="F28" s="3283"/>
      <c r="G28" s="3307" t="str">
        <f>IF(G25="","",INDEX(DIFFERENTIATION_UNMERGE_SYSTEM,MATCH(G25,DIFFERENTIATION_ID_DIFF,0)))</f>
        <v/>
      </c>
      <c r="H28" s="3308"/>
      <c r="I28" s="3307" t="str">
        <f>IF(I25="","",INDEX(DIFFERENTIATION_UNMERGE_SYSTEM,MATCH(I25,DIFFERENTIATION_ID_DIFF,0)))</f>
        <v>без дифференциации</v>
      </c>
      <c r="J28" s="3308"/>
      <c r="K28" s="3148"/>
      <c r="U28" s="609"/>
      <c r="V28" s="690">
        <v>15</v>
      </c>
    </row>
    <row r="29" spans="1:22" s="2004" customFormat="1" ht="15.75" customHeight="1">
      <c r="A29" s="691"/>
      <c r="C29" s="111"/>
      <c r="D29" s="3284" t="s">
        <v>335</v>
      </c>
      <c r="E29" s="3285"/>
      <c r="F29" s="3285"/>
      <c r="G29" s="810"/>
      <c r="H29" s="810"/>
      <c r="I29" s="810"/>
      <c r="J29" s="811"/>
      <c r="K29" s="3148"/>
      <c r="U29" s="609"/>
      <c r="V29" s="690">
        <v>15</v>
      </c>
    </row>
    <row r="30" spans="1:22" ht="35.65" customHeight="1">
      <c r="C30" s="111"/>
      <c r="D30" s="693" t="s">
        <v>89</v>
      </c>
      <c r="E30" s="692" t="s">
        <v>337</v>
      </c>
      <c r="F30" s="692" t="s">
        <v>599</v>
      </c>
      <c r="G30" s="736" t="s">
        <v>338</v>
      </c>
      <c r="H30" s="735" t="s">
        <v>425</v>
      </c>
      <c r="I30" s="618" t="s">
        <v>338</v>
      </c>
      <c r="J30" s="399" t="s">
        <v>425</v>
      </c>
      <c r="K30" s="3151"/>
      <c r="V30" s="439">
        <v>34</v>
      </c>
    </row>
    <row r="31" spans="1:22" ht="15" hidden="1" customHeight="1">
      <c r="C31" s="111"/>
      <c r="D31" s="527"/>
      <c r="E31" s="527"/>
      <c r="F31" s="527"/>
      <c r="G31" s="593"/>
      <c r="H31" s="593"/>
      <c r="I31" s="593"/>
      <c r="J31" s="593"/>
      <c r="K31" s="224"/>
      <c r="V31" s="439">
        <v>0</v>
      </c>
    </row>
    <row r="32" spans="1:22" ht="24" customHeight="1">
      <c r="A32" s="439"/>
      <c r="B32" s="439" t="s">
        <v>983</v>
      </c>
      <c r="C32" s="460"/>
      <c r="D32" s="626">
        <v>1</v>
      </c>
      <c r="E32" s="627" t="s">
        <v>984</v>
      </c>
      <c r="F32" s="625" t="s">
        <v>341</v>
      </c>
      <c r="G32" s="741" t="s">
        <v>341</v>
      </c>
      <c r="H32" s="741" t="s">
        <v>341</v>
      </c>
      <c r="I32" s="625" t="s">
        <v>341</v>
      </c>
      <c r="J32" s="625" t="s">
        <v>341</v>
      </c>
      <c r="K32" s="224"/>
      <c r="V32" s="439">
        <v>23</v>
      </c>
    </row>
    <row r="33" spans="1:22" ht="11.5" customHeight="1">
      <c r="A33" s="439"/>
      <c r="C33" s="439"/>
      <c r="D33" s="282"/>
      <c r="E33" s="514" t="s">
        <v>619</v>
      </c>
      <c r="F33" s="506"/>
      <c r="G33" s="506"/>
      <c r="H33" s="506"/>
      <c r="I33" s="506"/>
      <c r="J33" s="506"/>
      <c r="K33" s="507"/>
      <c r="U33" s="439"/>
      <c r="V33" s="439">
        <v>11</v>
      </c>
    </row>
    <row r="34" spans="1:22" ht="24" customHeight="1">
      <c r="A34" s="439"/>
      <c r="B34" s="515" t="s">
        <v>669</v>
      </c>
      <c r="C34" s="460"/>
      <c r="D34" s="626">
        <v>2</v>
      </c>
      <c r="E34" s="627" t="s">
        <v>985</v>
      </c>
      <c r="F34" s="748" t="s">
        <v>341</v>
      </c>
      <c r="G34" s="748" t="s">
        <v>341</v>
      </c>
      <c r="H34" s="748" t="s">
        <v>341</v>
      </c>
      <c r="I34" s="625"/>
      <c r="J34" s="625"/>
      <c r="K34" s="224"/>
      <c r="V34" s="439">
        <v>23</v>
      </c>
    </row>
    <row r="35" spans="1:22" ht="11.5" customHeight="1">
      <c r="A35" s="439"/>
      <c r="C35" s="439"/>
      <c r="D35" s="282"/>
      <c r="E35" s="514" t="s">
        <v>986</v>
      </c>
      <c r="F35" s="506"/>
      <c r="G35" s="628"/>
      <c r="H35" s="506"/>
      <c r="I35" s="628"/>
      <c r="J35" s="506"/>
      <c r="K35" s="507"/>
      <c r="U35" s="439"/>
      <c r="V35" s="439">
        <v>11</v>
      </c>
    </row>
    <row r="36" spans="1:22" ht="71.25" customHeight="1">
      <c r="A36" s="439"/>
      <c r="B36" s="439" t="s">
        <v>987</v>
      </c>
      <c r="C36" s="460"/>
      <c r="D36" s="626">
        <v>3</v>
      </c>
      <c r="E36" s="627" t="s">
        <v>988</v>
      </c>
      <c r="F36" s="629" t="s">
        <v>341</v>
      </c>
      <c r="G36" s="742" t="s">
        <v>989</v>
      </c>
      <c r="H36" s="741" t="s">
        <v>341</v>
      </c>
      <c r="I36" s="458" t="s">
        <v>989</v>
      </c>
      <c r="J36" s="625" t="s">
        <v>341</v>
      </c>
      <c r="K36" s="224" t="s">
        <v>990</v>
      </c>
      <c r="V36" s="439">
        <v>68</v>
      </c>
    </row>
    <row r="37" spans="1:22" ht="11.5" customHeight="1">
      <c r="A37" s="439"/>
      <c r="C37" s="439"/>
      <c r="D37" s="282"/>
      <c r="E37" s="514" t="s">
        <v>991</v>
      </c>
      <c r="F37" s="506"/>
      <c r="G37" s="628"/>
      <c r="H37" s="628"/>
      <c r="I37" s="628"/>
      <c r="J37" s="628"/>
      <c r="K37" s="507"/>
      <c r="U37" s="439"/>
      <c r="V37" s="439">
        <v>11</v>
      </c>
    </row>
    <row r="38" spans="1:22" ht="71.25" customHeight="1">
      <c r="A38" s="439"/>
      <c r="B38" s="439" t="s">
        <v>992</v>
      </c>
      <c r="C38" s="460"/>
      <c r="D38" s="626">
        <v>4</v>
      </c>
      <c r="E38" s="627" t="s">
        <v>993</v>
      </c>
      <c r="F38" s="629" t="s">
        <v>341</v>
      </c>
      <c r="G38" s="742" t="s">
        <v>989</v>
      </c>
      <c r="H38" s="743" t="s">
        <v>341</v>
      </c>
      <c r="I38" s="458" t="s">
        <v>989</v>
      </c>
      <c r="J38" s="455" t="s">
        <v>341</v>
      </c>
      <c r="K38" s="613" t="s">
        <v>994</v>
      </c>
      <c r="V38" s="439">
        <v>68</v>
      </c>
    </row>
    <row r="39" spans="1:22" ht="11.5" customHeight="1">
      <c r="A39" s="439"/>
      <c r="C39" s="439"/>
      <c r="D39" s="282"/>
      <c r="E39" s="514" t="s">
        <v>995</v>
      </c>
      <c r="F39" s="506"/>
      <c r="G39" s="506"/>
      <c r="H39" s="630"/>
      <c r="I39" s="506"/>
      <c r="J39" s="630"/>
      <c r="K39" s="507"/>
      <c r="U39" s="439"/>
      <c r="V39" s="439">
        <v>11</v>
      </c>
    </row>
    <row r="40" spans="1:22" ht="22.5" hidden="1" customHeight="1">
      <c r="A40" s="383" t="s">
        <v>83</v>
      </c>
      <c r="B40" s="439">
        <v>0</v>
      </c>
      <c r="C40" s="617">
        <v>4</v>
      </c>
      <c r="D40" s="439">
        <v>6</v>
      </c>
      <c r="E40" s="439">
        <v>36</v>
      </c>
      <c r="F40" s="439">
        <v>9</v>
      </c>
      <c r="G40" s="690">
        <v>0</v>
      </c>
      <c r="H40" s="690">
        <v>0</v>
      </c>
      <c r="I40" s="439">
        <v>25</v>
      </c>
      <c r="J40" s="439">
        <v>33</v>
      </c>
      <c r="K40" s="351">
        <v>93</v>
      </c>
      <c r="L40" s="439">
        <v>10</v>
      </c>
      <c r="M40" s="439">
        <v>10</v>
      </c>
      <c r="N40" s="439">
        <v>10</v>
      </c>
      <c r="O40" s="439">
        <v>10</v>
      </c>
      <c r="P40" s="439">
        <v>10</v>
      </c>
      <c r="Q40" s="439">
        <v>10</v>
      </c>
      <c r="R40" s="439">
        <v>10</v>
      </c>
      <c r="S40" s="439">
        <v>10</v>
      </c>
      <c r="T40" s="439">
        <v>10</v>
      </c>
      <c r="U40" s="609">
        <v>10</v>
      </c>
      <c r="V40" s="439">
        <v>23</v>
      </c>
    </row>
  </sheetData>
  <sheetProtection formatColumns="0" formatRows="0" insertRows="0" deleteColumns="0" deleteRows="0" sort="0" autoFilter="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xr:uid="{00000000-0002-0000-2700-00000000000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xr:uid="{00000000-0002-0000-2700-000001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xr:uid="{00000000-0002-0000-2700-000002000000}"/>
    <dataValidation type="textLength" operator="lessThanOrEqual" allowBlank="1" showInputMessage="1" showErrorMessage="1" errorTitle="Ошибка" error="Допускается ввод не более 900 символов!" sqref="I3 I6 I9 I13 G6 G13 G9 G3" xr:uid="{00000000-0002-0000-2700-000003000000}">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xr:uid="{00000000-0002-0000-2700-000004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91BF6-DCB5-9EF8-1AB1-700E8E3DC9BD}">
  <sheetPr>
    <tabColor theme="9" tint="-0.249977111117893"/>
  </sheetPr>
  <dimension ref="A1:AE16"/>
  <sheetViews>
    <sheetView showGridLines="0" topLeftCell="E4" zoomScale="85" workbookViewId="0"/>
  </sheetViews>
  <sheetFormatPr defaultColWidth="9.09765625" defaultRowHeight="10.5" customHeight="1"/>
  <cols>
    <col min="1" max="3" width="6.69921875" style="2986" hidden="1" customWidth="1"/>
    <col min="4" max="4" width="6.69921875" style="2016" hidden="1" customWidth="1"/>
    <col min="5" max="5" width="3" style="2004" customWidth="1"/>
    <col min="6" max="6" width="6" style="2004" customWidth="1"/>
    <col min="7" max="7" width="37" style="2004" customWidth="1"/>
    <col min="8" max="8" width="16" style="2004" customWidth="1"/>
    <col min="9" max="10" width="19" style="2004" customWidth="1"/>
    <col min="11" max="11" width="24" style="2004" customWidth="1"/>
    <col min="12" max="13" width="25" style="2004" customWidth="1"/>
    <col min="14" max="16" width="17" style="2004" customWidth="1"/>
    <col min="17" max="24" width="19" style="2004" customWidth="1"/>
    <col min="25" max="25" width="7" style="2004" customWidth="1"/>
    <col min="26" max="26" width="3" style="2004" customWidth="1"/>
    <col min="27" max="27" width="6" style="2004" customWidth="1"/>
    <col min="28" max="28" width="34" style="2004" customWidth="1"/>
    <col min="29" max="30" width="8" style="2004" customWidth="1"/>
    <col min="31" max="31" width="9.09765625" style="2004" hidden="1"/>
  </cols>
  <sheetData>
    <row r="1" spans="1:31" s="2016" customFormat="1" ht="10.5" hidden="1" customHeight="1">
      <c r="A1" s="818"/>
      <c r="B1" s="818"/>
      <c r="C1" s="818"/>
      <c r="E1" s="471"/>
      <c r="H1" s="1077"/>
      <c r="AE1" s="351" t="s">
        <v>14</v>
      </c>
    </row>
    <row r="2" spans="1:31" ht="10.5" hidden="1" customHeight="1">
      <c r="AE2" s="690">
        <v>0</v>
      </c>
    </row>
    <row r="3" spans="1:31" s="2002" customFormat="1" ht="10.5" hidden="1" customHeight="1">
      <c r="A3" s="818"/>
      <c r="B3" s="818"/>
      <c r="C3" s="818"/>
      <c r="D3" s="351"/>
      <c r="E3" s="296"/>
      <c r="G3" s="1549" t="s">
        <v>996</v>
      </c>
      <c r="H3" s="1073"/>
      <c r="AE3" s="691">
        <v>0</v>
      </c>
    </row>
    <row r="4" spans="1:31" ht="3" customHeight="1">
      <c r="AE4" s="690">
        <v>3</v>
      </c>
    </row>
    <row r="5" spans="1:31" ht="27.25" customHeight="1">
      <c r="F5" s="3183"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3183"/>
      <c r="H5" s="3183"/>
      <c r="I5" s="3183"/>
      <c r="J5" s="3183"/>
      <c r="K5" s="3183"/>
      <c r="M5" s="516"/>
      <c r="AB5" s="829"/>
      <c r="AE5" s="690">
        <v>26</v>
      </c>
    </row>
    <row r="6" spans="1:31" s="2004" customFormat="1" ht="16.75" customHeight="1">
      <c r="A6" s="1083"/>
      <c r="B6" s="1083"/>
      <c r="C6" s="1083"/>
      <c r="D6" s="1077"/>
      <c r="E6" s="1552"/>
      <c r="F6" s="3131" t="str">
        <f>IF(org=0,"Не определено",org)</f>
        <v>ООО "РСО"</v>
      </c>
      <c r="G6" s="3131"/>
      <c r="H6" s="3131"/>
      <c r="I6" s="3131"/>
      <c r="J6" s="3131"/>
      <c r="K6" s="3131"/>
      <c r="M6" s="516"/>
      <c r="AB6" s="1065"/>
      <c r="AE6" s="1548">
        <v>16</v>
      </c>
    </row>
    <row r="7" spans="1:31" ht="10.5" customHeight="1">
      <c r="AE7" s="690">
        <v>10</v>
      </c>
    </row>
    <row r="8" spans="1:31" ht="10.5" customHeight="1">
      <c r="A8" s="972"/>
      <c r="B8" s="972"/>
      <c r="C8" s="972"/>
      <c r="F8" s="3038" t="s">
        <v>335</v>
      </c>
      <c r="G8" s="3044"/>
      <c r="H8" s="3044"/>
      <c r="I8" s="3044"/>
      <c r="J8" s="3044"/>
      <c r="K8" s="3044"/>
      <c r="L8" s="3044"/>
      <c r="M8" s="3044"/>
      <c r="N8" s="3044"/>
      <c r="O8" s="3044"/>
      <c r="P8" s="3044"/>
      <c r="Q8" s="3044"/>
      <c r="R8" s="3044"/>
      <c r="S8" s="3044"/>
      <c r="T8" s="3044"/>
      <c r="U8" s="3044"/>
      <c r="V8" s="3044"/>
      <c r="W8" s="3044"/>
      <c r="X8" s="3044"/>
      <c r="Y8" s="3044"/>
      <c r="Z8" s="3044"/>
      <c r="AA8" s="3044"/>
      <c r="AB8" s="3037"/>
      <c r="AE8" s="690">
        <v>10</v>
      </c>
    </row>
    <row r="9" spans="1:31" ht="43" customHeight="1">
      <c r="A9" s="828"/>
      <c r="B9" s="828"/>
      <c r="C9" s="828"/>
      <c r="F9" s="3067" t="s">
        <v>89</v>
      </c>
      <c r="G9" s="3067" t="s">
        <v>996</v>
      </c>
      <c r="H9" s="3130" t="s">
        <v>997</v>
      </c>
      <c r="I9" s="3067" t="s">
        <v>998</v>
      </c>
      <c r="J9" s="3067" t="s">
        <v>999</v>
      </c>
      <c r="K9" s="3067" t="s">
        <v>1000</v>
      </c>
      <c r="L9" s="3067" t="s">
        <v>1001</v>
      </c>
      <c r="M9" s="3067" t="s">
        <v>1002</v>
      </c>
      <c r="N9" s="3159" t="s">
        <v>1003</v>
      </c>
      <c r="O9" s="3159"/>
      <c r="P9" s="3159"/>
      <c r="Q9" s="3208" t="s">
        <v>1004</v>
      </c>
      <c r="R9" s="3209"/>
      <c r="S9" s="3209"/>
      <c r="T9" s="3210"/>
      <c r="U9" s="3208" t="s">
        <v>1005</v>
      </c>
      <c r="V9" s="3209"/>
      <c r="W9" s="3209"/>
      <c r="X9" s="3210"/>
      <c r="Y9" s="3038" t="s">
        <v>1006</v>
      </c>
      <c r="Z9" s="3044"/>
      <c r="AA9" s="3044"/>
      <c r="AB9" s="3037"/>
      <c r="AE9" s="690">
        <v>41</v>
      </c>
    </row>
    <row r="10" spans="1:31" ht="43" customHeight="1">
      <c r="A10" s="828"/>
      <c r="B10" s="828"/>
      <c r="C10" s="828"/>
      <c r="F10" s="3130"/>
      <c r="G10" s="3130"/>
      <c r="H10" s="3178"/>
      <c r="I10" s="3130"/>
      <c r="J10" s="3130"/>
      <c r="K10" s="3130"/>
      <c r="L10" s="3130"/>
      <c r="M10" s="3130"/>
      <c r="N10" s="826" t="s">
        <v>1007</v>
      </c>
      <c r="O10" s="826" t="s">
        <v>1008</v>
      </c>
      <c r="P10" s="827" t="s">
        <v>1009</v>
      </c>
      <c r="Q10" s="838" t="s">
        <v>90</v>
      </c>
      <c r="R10" s="838" t="s">
        <v>1010</v>
      </c>
      <c r="S10" s="838" t="s">
        <v>1011</v>
      </c>
      <c r="T10" s="839" t="s">
        <v>1012</v>
      </c>
      <c r="U10" s="838" t="s">
        <v>90</v>
      </c>
      <c r="V10" s="838" t="s">
        <v>1013</v>
      </c>
      <c r="W10" s="838" t="s">
        <v>1011</v>
      </c>
      <c r="X10" s="839" t="s">
        <v>1012</v>
      </c>
      <c r="Y10" s="236" t="s">
        <v>1014</v>
      </c>
      <c r="Z10" s="3038" t="s">
        <v>89</v>
      </c>
      <c r="AA10" s="3037"/>
      <c r="AB10" s="970" t="s">
        <v>1015</v>
      </c>
      <c r="AE10" s="690">
        <v>41</v>
      </c>
    </row>
    <row r="11" spans="1:31" s="2017" customFormat="1" ht="5.25" hidden="1" customHeight="1">
      <c r="A11" s="973"/>
      <c r="B11" s="973"/>
      <c r="C11" s="973"/>
      <c r="E11" s="971"/>
      <c r="F11" s="3315" t="s">
        <v>411</v>
      </c>
      <c r="G11" s="3312"/>
      <c r="H11" s="3311"/>
      <c r="I11" s="3311"/>
      <c r="J11" s="3311"/>
      <c r="K11" s="3313"/>
      <c r="L11" s="3313"/>
      <c r="M11" s="3313"/>
      <c r="N11" s="3311"/>
      <c r="O11" s="3311"/>
      <c r="P11" s="3067"/>
      <c r="Q11" s="3134"/>
      <c r="R11" s="3134"/>
      <c r="S11" s="3134"/>
      <c r="T11" s="3311"/>
      <c r="U11" s="3134"/>
      <c r="V11" s="3134"/>
      <c r="W11" s="3134"/>
      <c r="X11" s="3311"/>
      <c r="Y11" s="3049"/>
      <c r="Z11" s="3049"/>
      <c r="AA11" s="3049"/>
      <c r="AB11" s="3049"/>
      <c r="AD11" s="445" t="s">
        <v>1016</v>
      </c>
      <c r="AE11" s="445">
        <v>0</v>
      </c>
    </row>
    <row r="12" spans="1:31" s="2017" customFormat="1" ht="5.25" hidden="1" customHeight="1">
      <c r="A12" s="819"/>
      <c r="B12" s="819"/>
      <c r="C12" s="819"/>
      <c r="E12" s="452"/>
      <c r="F12" s="3315"/>
      <c r="G12" s="3312"/>
      <c r="H12" s="3311"/>
      <c r="I12" s="3311"/>
      <c r="J12" s="3311"/>
      <c r="K12" s="3313"/>
      <c r="L12" s="3313"/>
      <c r="M12" s="3313"/>
      <c r="N12" s="3311"/>
      <c r="O12" s="3311"/>
      <c r="P12" s="3067"/>
      <c r="Q12" s="3134"/>
      <c r="R12" s="3134"/>
      <c r="S12" s="3134"/>
      <c r="T12" s="3311"/>
      <c r="U12" s="3134"/>
      <c r="V12" s="3134"/>
      <c r="W12" s="3134"/>
      <c r="X12" s="3311"/>
      <c r="Y12" s="3314"/>
      <c r="Z12" s="3314"/>
      <c r="AA12" s="3314"/>
      <c r="AB12" s="3314"/>
      <c r="AE12" s="445">
        <v>0</v>
      </c>
    </row>
    <row r="13" spans="1:31" ht="10.5" customHeight="1">
      <c r="F13" s="825"/>
      <c r="G13" s="584" t="s">
        <v>1017</v>
      </c>
      <c r="H13" s="1085"/>
      <c r="I13" s="506"/>
      <c r="J13" s="506"/>
      <c r="K13" s="506"/>
      <c r="L13" s="506"/>
      <c r="M13" s="506"/>
      <c r="N13" s="506"/>
      <c r="O13" s="506"/>
      <c r="P13" s="506"/>
      <c r="Q13" s="506"/>
      <c r="R13" s="506"/>
      <c r="S13" s="506"/>
      <c r="T13" s="506"/>
      <c r="U13" s="506"/>
      <c r="V13" s="506"/>
      <c r="W13" s="506"/>
      <c r="X13" s="506"/>
      <c r="Y13" s="506"/>
      <c r="Z13" s="630"/>
      <c r="AA13" s="630"/>
      <c r="AB13" s="840"/>
      <c r="AE13" s="690">
        <v>10</v>
      </c>
    </row>
    <row r="14" spans="1:31" ht="10.5" customHeight="1">
      <c r="AE14" s="690">
        <v>10</v>
      </c>
    </row>
    <row r="15" spans="1:31" s="2017" customFormat="1" ht="10.5" customHeight="1">
      <c r="A15" s="1084"/>
      <c r="B15" s="1084"/>
      <c r="C15" s="1084"/>
      <c r="E15" s="452"/>
      <c r="H15" s="445">
        <f>IFERROR(MATCH("нет",IP_MAIN_DIFFERENTIATION_EVENTS_FLAG,0),0)</f>
        <v>0</v>
      </c>
      <c r="AE15" s="445">
        <v>10</v>
      </c>
    </row>
    <row r="16" spans="1:31" ht="10.5" hidden="1" customHeight="1">
      <c r="A16" s="818" t="s">
        <v>83</v>
      </c>
      <c r="B16" s="818">
        <v>0</v>
      </c>
      <c r="C16" s="818">
        <v>0</v>
      </c>
      <c r="D16" s="351">
        <v>0</v>
      </c>
      <c r="E16" s="443">
        <v>3</v>
      </c>
      <c r="F16" s="690">
        <v>6</v>
      </c>
      <c r="G16" s="690">
        <v>37</v>
      </c>
      <c r="H16" s="1072">
        <v>16</v>
      </c>
      <c r="I16" s="690">
        <v>19</v>
      </c>
      <c r="J16" s="690">
        <v>19</v>
      </c>
      <c r="K16" s="690">
        <v>24</v>
      </c>
      <c r="L16" s="690">
        <v>25</v>
      </c>
      <c r="M16" s="690">
        <v>25</v>
      </c>
      <c r="N16" s="690">
        <v>17</v>
      </c>
      <c r="O16" s="690">
        <v>17</v>
      </c>
      <c r="P16" s="690">
        <v>17</v>
      </c>
      <c r="Q16" s="690">
        <v>19</v>
      </c>
      <c r="R16" s="690">
        <v>19</v>
      </c>
      <c r="S16" s="690">
        <v>19</v>
      </c>
      <c r="T16" s="690">
        <v>19</v>
      </c>
      <c r="U16" s="690">
        <v>19</v>
      </c>
      <c r="V16" s="690">
        <v>19</v>
      </c>
      <c r="W16" s="690">
        <v>19</v>
      </c>
      <c r="X16" s="690">
        <v>19</v>
      </c>
      <c r="Y16" s="690">
        <v>7</v>
      </c>
      <c r="Z16" s="690">
        <v>3</v>
      </c>
      <c r="AA16" s="690">
        <v>6</v>
      </c>
      <c r="AB16" s="690">
        <v>34</v>
      </c>
      <c r="AC16" s="690">
        <v>8</v>
      </c>
      <c r="AD16" s="690">
        <v>8</v>
      </c>
      <c r="AE16" s="690">
        <v>10</v>
      </c>
    </row>
  </sheetData>
  <sheetProtection formatColumns="0" formatRows="0" insertRows="0" deleteColumns="0" deleteRows="0" sort="0" autoFilter="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47BBEB-8707-4503-DA6D-A690830C272C}">
  <sheetPr>
    <tabColor theme="9" tint="-0.249977111117893"/>
  </sheetPr>
  <dimension ref="A1:BG20"/>
  <sheetViews>
    <sheetView showGridLines="0" topLeftCell="E4" zoomScale="90" workbookViewId="0"/>
  </sheetViews>
  <sheetFormatPr defaultColWidth="9.09765625" defaultRowHeight="10.5" customHeight="1"/>
  <cols>
    <col min="1" max="3" width="4.09765625" style="2986" hidden="1" customWidth="1"/>
    <col min="4" max="4" width="4.09765625" style="2016" hidden="1" customWidth="1"/>
    <col min="5" max="5" width="3" style="2004" customWidth="1"/>
    <col min="6" max="6" width="14" style="2004" customWidth="1"/>
    <col min="7" max="7" width="3" style="2004" customWidth="1"/>
    <col min="8" max="8" width="7" style="2004" customWidth="1"/>
    <col min="9" max="10" width="16" style="2004" customWidth="1"/>
    <col min="11" max="11" width="25" style="2004" customWidth="1"/>
    <col min="12" max="12" width="7" style="2004" customWidth="1"/>
    <col min="13" max="13" width="15" style="2004" customWidth="1"/>
    <col min="14" max="14" width="3" style="2004" customWidth="1"/>
    <col min="15" max="15" width="4" style="2004" customWidth="1"/>
    <col min="16" max="16" width="8" style="2004" customWidth="1"/>
    <col min="17" max="17" width="21" style="2004" customWidth="1"/>
    <col min="18" max="18" width="14" style="2004" customWidth="1"/>
    <col min="19" max="20" width="17" style="2004" customWidth="1"/>
    <col min="21" max="21" width="9" style="2004" customWidth="1"/>
    <col min="22" max="22" width="12" style="2004" customWidth="1"/>
    <col min="23" max="23" width="9" style="2004" customWidth="1"/>
    <col min="24" max="24" width="21" style="2004" customWidth="1"/>
    <col min="25" max="25" width="12" style="2004" customWidth="1"/>
    <col min="26" max="26" width="3" style="2004" customWidth="1"/>
    <col min="27" max="27" width="6" style="2004" customWidth="1"/>
    <col min="28" max="28" width="38" style="2004" customWidth="1"/>
    <col min="29" max="29" width="15" style="2004" customWidth="1"/>
    <col min="30" max="30" width="37.59765625" style="2004" hidden="1" customWidth="1"/>
    <col min="31" max="31" width="15.69921875" style="2004" hidden="1" customWidth="1"/>
    <col min="32" max="34" width="16" style="2004" customWidth="1"/>
    <col min="35" max="37" width="16.69921875" style="2004" hidden="1" customWidth="1"/>
    <col min="38" max="58" width="8" style="2004" customWidth="1"/>
    <col min="59" max="59" width="9.09765625" style="2004" hidden="1"/>
  </cols>
  <sheetData>
    <row r="1" spans="1:59" s="2016" customFormat="1" ht="10.5" hidden="1" customHeight="1">
      <c r="A1" s="818"/>
      <c r="B1" s="818"/>
      <c r="C1" s="818"/>
      <c r="E1" s="471"/>
      <c r="H1" s="1077"/>
      <c r="L1" s="1045"/>
      <c r="M1" s="1045"/>
      <c r="AD1" s="1045"/>
      <c r="AH1" s="1064"/>
      <c r="AI1" s="1057"/>
      <c r="BG1" s="351" t="s">
        <v>14</v>
      </c>
    </row>
    <row r="2" spans="1:59" ht="10.5" hidden="1" customHeight="1">
      <c r="BG2" s="690">
        <v>0</v>
      </c>
    </row>
    <row r="3" spans="1:59" s="2002" customFormat="1" ht="10.5" hidden="1" customHeight="1">
      <c r="A3" s="818"/>
      <c r="B3" s="818"/>
      <c r="C3" s="818"/>
      <c r="D3" s="351"/>
      <c r="E3" s="296"/>
      <c r="H3" s="1073"/>
      <c r="L3" s="1043"/>
      <c r="M3" s="1043"/>
      <c r="AD3" s="1043"/>
      <c r="AH3" s="1062"/>
      <c r="AI3" s="1055"/>
      <c r="BG3" s="691">
        <v>0</v>
      </c>
    </row>
    <row r="4" spans="1:59" ht="3" customHeight="1">
      <c r="BG4" s="690">
        <v>3</v>
      </c>
    </row>
    <row r="5" spans="1:59" ht="27.25" customHeight="1">
      <c r="F5" s="3183"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3183"/>
      <c r="H5" s="3183"/>
      <c r="I5" s="3183"/>
      <c r="J5" s="3183"/>
      <c r="K5" s="3183"/>
      <c r="L5" s="1052"/>
      <c r="M5" s="1052"/>
      <c r="AG5" s="829"/>
      <c r="AH5" s="1065"/>
      <c r="BG5" s="690">
        <v>26</v>
      </c>
    </row>
    <row r="6" spans="1:59" ht="10.5" customHeight="1">
      <c r="F6" s="3131" t="str">
        <f>IF(org=0,"Не определено",org)</f>
        <v>ООО "РСО"</v>
      </c>
      <c r="G6" s="3131"/>
      <c r="H6" s="3131"/>
      <c r="I6" s="3131"/>
      <c r="J6" s="3131"/>
      <c r="K6" s="3131"/>
      <c r="L6" s="1053"/>
      <c r="M6" s="1053"/>
      <c r="BG6" s="690">
        <v>10</v>
      </c>
    </row>
    <row r="7" spans="1:59" ht="11.5" customHeight="1">
      <c r="E7" s="831"/>
      <c r="F7" s="842"/>
      <c r="G7" s="842"/>
      <c r="H7" s="1101"/>
      <c r="I7" s="842"/>
      <c r="J7" s="842"/>
      <c r="K7" s="844"/>
      <c r="L7" s="1050"/>
      <c r="M7" s="1050"/>
      <c r="N7" s="842"/>
      <c r="O7" s="842"/>
      <c r="P7" s="842"/>
      <c r="Q7" s="844"/>
      <c r="R7" s="842"/>
      <c r="S7" s="842"/>
      <c r="T7" s="842"/>
      <c r="U7" s="842"/>
      <c r="V7" s="842"/>
      <c r="W7" s="842"/>
      <c r="X7" s="842"/>
      <c r="Y7" s="842"/>
      <c r="Z7" s="842"/>
      <c r="AA7" s="842"/>
      <c r="AB7" s="842"/>
      <c r="AC7" s="843"/>
      <c r="AD7" s="1049"/>
      <c r="AE7" s="843"/>
      <c r="AF7" s="842"/>
      <c r="AG7" s="842"/>
      <c r="AH7" s="1067"/>
      <c r="AI7" s="1060"/>
      <c r="AJ7" s="842"/>
      <c r="AK7" s="842"/>
      <c r="AL7" s="833"/>
      <c r="AM7" s="833"/>
      <c r="AN7" s="833"/>
      <c r="AO7" s="830"/>
      <c r="AP7" s="830"/>
      <c r="AQ7" s="830"/>
      <c r="AR7" s="830"/>
      <c r="AS7" s="830"/>
      <c r="AT7" s="830"/>
      <c r="AU7" s="830"/>
      <c r="AV7" s="830"/>
      <c r="AW7" s="830"/>
      <c r="AX7" s="830"/>
      <c r="AY7" s="830"/>
      <c r="AZ7" s="830"/>
      <c r="BA7" s="830"/>
      <c r="BB7" s="830"/>
      <c r="BC7" s="830"/>
      <c r="BD7" s="830"/>
      <c r="BE7" s="830"/>
      <c r="BF7" s="830"/>
      <c r="BG7" s="690">
        <v>11</v>
      </c>
    </row>
    <row r="8" spans="1:59" ht="10.5" customHeight="1">
      <c r="E8" s="831"/>
      <c r="F8" s="3318" t="s">
        <v>335</v>
      </c>
      <c r="G8" s="3319"/>
      <c r="H8" s="3319"/>
      <c r="I8" s="3319"/>
      <c r="J8" s="3319"/>
      <c r="K8" s="3319"/>
      <c r="L8" s="3319"/>
      <c r="M8" s="3319"/>
      <c r="N8" s="3319"/>
      <c r="O8" s="3319"/>
      <c r="P8" s="3319"/>
      <c r="Q8" s="3319"/>
      <c r="R8" s="3319"/>
      <c r="S8" s="3319"/>
      <c r="T8" s="3319"/>
      <c r="U8" s="3319"/>
      <c r="V8" s="3319"/>
      <c r="W8" s="3319"/>
      <c r="X8" s="3319"/>
      <c r="Y8" s="3319"/>
      <c r="Z8" s="3319"/>
      <c r="AA8" s="3319"/>
      <c r="AB8" s="3319"/>
      <c r="AC8" s="3319"/>
      <c r="AD8" s="3319"/>
      <c r="AE8" s="3319"/>
      <c r="AF8" s="3319"/>
      <c r="AG8" s="3319"/>
      <c r="AH8" s="3319"/>
      <c r="AI8" s="3319"/>
      <c r="AJ8" s="3319"/>
      <c r="AK8" s="3320"/>
      <c r="AL8" s="832"/>
      <c r="AM8" s="830"/>
      <c r="AN8" s="830"/>
      <c r="AO8" s="830"/>
      <c r="AP8" s="830"/>
      <c r="AQ8" s="830"/>
      <c r="AR8" s="830"/>
      <c r="AS8" s="830"/>
      <c r="AT8" s="830"/>
      <c r="AU8" s="830"/>
      <c r="AV8" s="830"/>
      <c r="AW8" s="830"/>
      <c r="AX8" s="830"/>
      <c r="AY8" s="830"/>
      <c r="AZ8" s="830"/>
      <c r="BA8" s="830"/>
      <c r="BB8" s="830"/>
      <c r="BC8" s="830"/>
      <c r="BD8" s="830"/>
      <c r="BE8" s="830"/>
      <c r="BF8" s="830"/>
      <c r="BG8" s="690">
        <v>10</v>
      </c>
    </row>
    <row r="9" spans="1:59" ht="24" customHeight="1">
      <c r="A9" s="828"/>
      <c r="B9" s="828"/>
      <c r="C9" s="828"/>
      <c r="E9" s="831"/>
      <c r="F9" s="3159" t="s">
        <v>1018</v>
      </c>
      <c r="G9" s="3252" t="s">
        <v>1019</v>
      </c>
      <c r="H9" s="3300"/>
      <c r="I9" s="3067" t="s">
        <v>1020</v>
      </c>
      <c r="J9" s="3067"/>
      <c r="K9" s="3067" t="s">
        <v>1021</v>
      </c>
      <c r="L9" s="3067"/>
      <c r="M9" s="3067"/>
      <c r="N9" s="3067"/>
      <c r="O9" s="3067"/>
      <c r="P9" s="3067"/>
      <c r="Q9" s="3067"/>
      <c r="R9" s="3067"/>
      <c r="S9" s="3067"/>
      <c r="T9" s="3067"/>
      <c r="U9" s="3067"/>
      <c r="V9" s="3067"/>
      <c r="W9" s="3067"/>
      <c r="X9" s="3067"/>
      <c r="Y9" s="3067"/>
      <c r="Z9" s="3145" t="s">
        <v>1022</v>
      </c>
      <c r="AA9" s="3146"/>
      <c r="AB9" s="3067" t="s">
        <v>1023</v>
      </c>
      <c r="AC9" s="3067"/>
      <c r="AD9" s="3067"/>
      <c r="AE9" s="3067"/>
      <c r="AF9" s="3130" t="s">
        <v>1024</v>
      </c>
      <c r="AG9" s="3067" t="s">
        <v>1025</v>
      </c>
      <c r="AH9" s="3067"/>
      <c r="AI9" s="3130" t="s">
        <v>1026</v>
      </c>
      <c r="AJ9" s="3067" t="s">
        <v>1027</v>
      </c>
      <c r="AK9" s="3067"/>
      <c r="AL9" s="1059"/>
      <c r="AM9" s="830"/>
      <c r="AN9" s="830"/>
      <c r="AO9" s="830"/>
      <c r="AP9" s="830"/>
      <c r="AQ9" s="830"/>
      <c r="AR9" s="830"/>
      <c r="AS9" s="830"/>
      <c r="AT9" s="830"/>
      <c r="AU9" s="830"/>
      <c r="AV9" s="830"/>
      <c r="AW9" s="830"/>
      <c r="AX9" s="830"/>
      <c r="AY9" s="830"/>
      <c r="AZ9" s="830"/>
      <c r="BA9" s="830"/>
      <c r="BB9" s="830"/>
      <c r="BC9" s="830"/>
      <c r="BD9" s="830"/>
      <c r="BE9" s="830"/>
      <c r="BF9" s="830"/>
      <c r="BG9" s="690">
        <v>23</v>
      </c>
    </row>
    <row r="10" spans="1:59" ht="25.25" customHeight="1">
      <c r="A10" s="828"/>
      <c r="B10" s="828"/>
      <c r="C10" s="828"/>
      <c r="E10" s="835"/>
      <c r="F10" s="3159"/>
      <c r="G10" s="3253"/>
      <c r="H10" s="3163"/>
      <c r="I10" s="3067"/>
      <c r="J10" s="3067"/>
      <c r="K10" s="3067" t="s">
        <v>1028</v>
      </c>
      <c r="L10" s="3038" t="s">
        <v>1029</v>
      </c>
      <c r="M10" s="3037"/>
      <c r="N10" s="3067" t="s">
        <v>1030</v>
      </c>
      <c r="O10" s="3067"/>
      <c r="P10" s="3067"/>
      <c r="Q10" s="3067"/>
      <c r="R10" s="3067"/>
      <c r="S10" s="3067"/>
      <c r="T10" s="3067"/>
      <c r="U10" s="3067"/>
      <c r="V10" s="3067"/>
      <c r="W10" s="3067"/>
      <c r="X10" s="3067"/>
      <c r="Y10" s="3067"/>
      <c r="Z10" s="3147"/>
      <c r="AA10" s="3148"/>
      <c r="AB10" s="3067"/>
      <c r="AC10" s="3067"/>
      <c r="AD10" s="3067"/>
      <c r="AE10" s="3067"/>
      <c r="AF10" s="3149"/>
      <c r="AG10" s="3067"/>
      <c r="AH10" s="3067"/>
      <c r="AI10" s="3149"/>
      <c r="AJ10" s="3067"/>
      <c r="AK10" s="3067"/>
      <c r="AL10" s="1059"/>
      <c r="AM10" s="836"/>
      <c r="AN10" s="836"/>
      <c r="AO10" s="836"/>
      <c r="AP10" s="836"/>
      <c r="AQ10" s="836"/>
      <c r="AR10" s="836"/>
      <c r="AS10" s="836"/>
      <c r="AT10" s="836"/>
      <c r="AU10" s="836"/>
      <c r="AV10" s="836"/>
      <c r="AW10" s="836"/>
      <c r="AX10" s="836"/>
      <c r="AY10" s="836"/>
      <c r="AZ10" s="836"/>
      <c r="BA10" s="836"/>
      <c r="BB10" s="836"/>
      <c r="BC10" s="836"/>
      <c r="BD10" s="836"/>
      <c r="BE10" s="836"/>
      <c r="BF10" s="836"/>
      <c r="BG10" s="690">
        <v>24</v>
      </c>
    </row>
    <row r="11" spans="1:59" s="2004" customFormat="1" ht="25.25" customHeight="1">
      <c r="A11" s="1046"/>
      <c r="B11" s="1046"/>
      <c r="C11" s="1046"/>
      <c r="D11" s="1045"/>
      <c r="E11" s="1047"/>
      <c r="F11" s="3159"/>
      <c r="G11" s="3253"/>
      <c r="H11" s="3163"/>
      <c r="I11" s="3067"/>
      <c r="J11" s="3067"/>
      <c r="K11" s="3067"/>
      <c r="L11" s="3130" t="s">
        <v>1031</v>
      </c>
      <c r="M11" s="3130" t="s">
        <v>1032</v>
      </c>
      <c r="N11" s="3067" t="s">
        <v>1033</v>
      </c>
      <c r="O11" s="3067"/>
      <c r="P11" s="3106" t="s">
        <v>1014</v>
      </c>
      <c r="Q11" s="3106" t="s">
        <v>1034</v>
      </c>
      <c r="R11" s="3106" t="s">
        <v>1035</v>
      </c>
      <c r="S11" s="3106" t="s">
        <v>1036</v>
      </c>
      <c r="T11" s="3106"/>
      <c r="U11" s="3106"/>
      <c r="V11" s="3106"/>
      <c r="W11" s="3106"/>
      <c r="X11" s="3106"/>
      <c r="Y11" s="3106"/>
      <c r="Z11" s="3147"/>
      <c r="AA11" s="3148"/>
      <c r="AB11" s="3067" t="s">
        <v>1037</v>
      </c>
      <c r="AC11" s="3067"/>
      <c r="AD11" s="3038" t="s">
        <v>1038</v>
      </c>
      <c r="AE11" s="3037"/>
      <c r="AF11" s="3149"/>
      <c r="AG11" s="3067"/>
      <c r="AH11" s="3067"/>
      <c r="AI11" s="3149"/>
      <c r="AJ11" s="3067"/>
      <c r="AK11" s="3067"/>
      <c r="AL11" s="1059"/>
      <c r="AM11" s="1044"/>
      <c r="AN11" s="1044"/>
      <c r="AO11" s="1044"/>
      <c r="AP11" s="1044"/>
      <c r="AQ11" s="1044"/>
      <c r="AR11" s="1044"/>
      <c r="AS11" s="1044"/>
      <c r="AT11" s="1044"/>
      <c r="AU11" s="1044"/>
      <c r="AV11" s="1044"/>
      <c r="AW11" s="1044"/>
      <c r="AX11" s="1044"/>
      <c r="AY11" s="1044"/>
      <c r="AZ11" s="1044"/>
      <c r="BA11" s="1044"/>
      <c r="BB11" s="1044"/>
      <c r="BC11" s="1044"/>
      <c r="BD11" s="1044"/>
      <c r="BE11" s="1044"/>
      <c r="BF11" s="1044"/>
      <c r="BG11" s="1042">
        <v>24</v>
      </c>
    </row>
    <row r="12" spans="1:59" ht="35.65" customHeight="1">
      <c r="A12" s="828"/>
      <c r="B12" s="828"/>
      <c r="C12" s="828"/>
      <c r="E12" s="831"/>
      <c r="F12" s="3159"/>
      <c r="G12" s="3254"/>
      <c r="H12" s="3317"/>
      <c r="I12" s="1070" t="s">
        <v>90</v>
      </c>
      <c r="J12" s="1070" t="s">
        <v>1039</v>
      </c>
      <c r="K12" s="3067"/>
      <c r="L12" s="3178"/>
      <c r="M12" s="3178"/>
      <c r="N12" s="3067"/>
      <c r="O12" s="3067"/>
      <c r="P12" s="3106"/>
      <c r="Q12" s="3106"/>
      <c r="R12" s="3106"/>
      <c r="S12" s="1051" t="s">
        <v>87</v>
      </c>
      <c r="T12" s="1051" t="s">
        <v>88</v>
      </c>
      <c r="U12" s="1051" t="s">
        <v>86</v>
      </c>
      <c r="V12" s="1051" t="s">
        <v>1040</v>
      </c>
      <c r="W12" s="1051" t="s">
        <v>86</v>
      </c>
      <c r="X12" s="1051" t="s">
        <v>1041</v>
      </c>
      <c r="Y12" s="1051" t="s">
        <v>1042</v>
      </c>
      <c r="Z12" s="3150"/>
      <c r="AA12" s="3151"/>
      <c r="AB12" s="1058" t="s">
        <v>1043</v>
      </c>
      <c r="AC12" s="1058" t="s">
        <v>1044</v>
      </c>
      <c r="AD12" s="1058" t="s">
        <v>1043</v>
      </c>
      <c r="AE12" s="1058" t="s">
        <v>1044</v>
      </c>
      <c r="AF12" s="3178"/>
      <c r="AG12" s="1071" t="s">
        <v>1045</v>
      </c>
      <c r="AH12" s="1071" t="s">
        <v>1046</v>
      </c>
      <c r="AI12" s="3178"/>
      <c r="AJ12" s="1071" t="s">
        <v>1045</v>
      </c>
      <c r="AK12" s="1071" t="s">
        <v>1046</v>
      </c>
      <c r="AL12" s="1059"/>
      <c r="AM12" s="830"/>
      <c r="AN12" s="830"/>
      <c r="AO12" s="830"/>
      <c r="AP12" s="830"/>
      <c r="AQ12" s="830"/>
      <c r="AR12" s="830"/>
      <c r="AS12" s="830"/>
      <c r="AT12" s="830"/>
      <c r="AU12" s="830"/>
      <c r="AV12" s="830"/>
      <c r="AW12" s="830"/>
      <c r="AX12" s="830"/>
      <c r="AY12" s="830"/>
      <c r="AZ12" s="830"/>
      <c r="BA12" s="830"/>
      <c r="BB12" s="830"/>
      <c r="BC12" s="830"/>
      <c r="BD12" s="830"/>
      <c r="BE12" s="830"/>
      <c r="BF12" s="830"/>
      <c r="BG12" s="690">
        <v>34</v>
      </c>
    </row>
    <row r="13" spans="1:59" ht="1" customHeight="1">
      <c r="E13" s="831"/>
      <c r="F13" s="1041">
        <v>0</v>
      </c>
      <c r="G13" s="1041"/>
      <c r="H13" s="1041"/>
      <c r="I13" s="1041"/>
      <c r="J13" s="1041"/>
      <c r="K13" s="1048"/>
      <c r="L13" s="1048"/>
      <c r="M13" s="1048"/>
      <c r="N13" s="1048"/>
      <c r="O13" s="1048"/>
      <c r="P13" s="1048"/>
      <c r="Q13" s="1048"/>
      <c r="R13" s="1048"/>
      <c r="S13" s="1048"/>
      <c r="T13" s="1048"/>
      <c r="U13" s="1048"/>
      <c r="V13" s="1048"/>
      <c r="W13" s="1048"/>
      <c r="X13" s="1048"/>
      <c r="Y13" s="1048"/>
      <c r="Z13" s="1048"/>
      <c r="AA13" s="1048"/>
      <c r="AB13" s="1048"/>
      <c r="AC13" s="1048"/>
      <c r="AD13" s="1048"/>
      <c r="AE13" s="1048"/>
      <c r="AF13" s="1048"/>
      <c r="AG13" s="1048"/>
      <c r="AH13" s="1066"/>
      <c r="AI13" s="1059"/>
      <c r="AJ13" s="1048"/>
      <c r="AK13" s="1048"/>
      <c r="AL13" s="832"/>
      <c r="AM13" s="830"/>
      <c r="AN13" s="830"/>
      <c r="AO13" s="830"/>
      <c r="AP13" s="830"/>
      <c r="AQ13" s="830"/>
      <c r="AR13" s="830"/>
      <c r="AS13" s="830"/>
      <c r="AT13" s="830"/>
      <c r="AU13" s="830"/>
      <c r="AV13" s="830"/>
      <c r="AW13" s="830"/>
      <c r="AX13" s="830"/>
      <c r="AY13" s="830"/>
      <c r="AZ13" s="830"/>
      <c r="BA13" s="830"/>
      <c r="BB13" s="830"/>
      <c r="BC13" s="830"/>
      <c r="BD13" s="830"/>
      <c r="BE13" s="830"/>
      <c r="BF13" s="830"/>
      <c r="BG13" s="690">
        <v>1</v>
      </c>
    </row>
    <row r="14" spans="1:59" ht="10.5" customHeight="1">
      <c r="E14" s="830"/>
      <c r="F14" s="841"/>
      <c r="G14" s="841"/>
      <c r="H14" s="1089"/>
      <c r="I14" s="841"/>
      <c r="J14" s="841"/>
      <c r="K14" s="841"/>
      <c r="L14" s="1048"/>
      <c r="M14" s="1048"/>
      <c r="N14" s="841"/>
      <c r="O14" s="841"/>
      <c r="P14" s="841"/>
      <c r="Q14" s="841"/>
      <c r="R14" s="841"/>
      <c r="S14" s="841"/>
      <c r="T14" s="841"/>
      <c r="U14" s="841"/>
      <c r="V14" s="841"/>
      <c r="W14" s="841"/>
      <c r="X14" s="841"/>
      <c r="Y14" s="841"/>
      <c r="Z14" s="841"/>
      <c r="AA14" s="841"/>
      <c r="AB14" s="841"/>
      <c r="AC14" s="841"/>
      <c r="AD14" s="1048"/>
      <c r="AE14" s="841"/>
      <c r="AF14" s="841"/>
      <c r="AG14" s="841"/>
      <c r="AH14" s="1066"/>
      <c r="AI14" s="1059"/>
      <c r="AJ14" s="841"/>
      <c r="AK14" s="841"/>
      <c r="AL14" s="830"/>
      <c r="AM14" s="830"/>
      <c r="AN14" s="830"/>
      <c r="AO14" s="830"/>
      <c r="AP14" s="830"/>
      <c r="AQ14" s="830"/>
      <c r="AR14" s="830"/>
      <c r="AS14" s="830"/>
      <c r="AT14" s="830"/>
      <c r="AU14" s="830"/>
      <c r="AV14" s="830"/>
      <c r="AW14" s="830"/>
      <c r="AX14" s="830"/>
      <c r="AY14" s="830"/>
      <c r="AZ14" s="830"/>
      <c r="BA14" s="830"/>
      <c r="BB14" s="830"/>
      <c r="BC14" s="830"/>
      <c r="BD14" s="830"/>
      <c r="BE14" s="830"/>
      <c r="BF14" s="830"/>
      <c r="BG14" s="690">
        <v>10</v>
      </c>
    </row>
    <row r="15" spans="1:59" ht="13.5" customHeight="1">
      <c r="E15" s="830"/>
      <c r="F15" s="837" t="s">
        <v>1047</v>
      </c>
      <c r="G15" s="837"/>
      <c r="H15" s="1088"/>
      <c r="I15" s="837"/>
      <c r="J15" s="837"/>
      <c r="K15" s="834"/>
      <c r="L15" s="1044"/>
      <c r="M15" s="1044"/>
      <c r="N15" s="836"/>
      <c r="O15" s="836"/>
      <c r="P15" s="836"/>
      <c r="Q15" s="836"/>
      <c r="R15" s="836"/>
      <c r="S15" s="836"/>
      <c r="T15" s="836"/>
      <c r="U15" s="836"/>
      <c r="V15" s="836"/>
      <c r="W15" s="836"/>
      <c r="X15" s="836"/>
      <c r="Y15" s="836"/>
      <c r="Z15" s="834"/>
      <c r="AA15" s="834"/>
      <c r="AB15" s="834"/>
      <c r="AC15" s="834"/>
      <c r="AD15" s="1044"/>
      <c r="AE15" s="834"/>
      <c r="AF15" s="834"/>
      <c r="AG15" s="834"/>
      <c r="AH15" s="1063"/>
      <c r="AI15" s="1056"/>
      <c r="AJ15" s="834"/>
      <c r="AK15" s="834"/>
      <c r="AL15" s="830"/>
      <c r="AM15" s="830"/>
      <c r="AN15" s="830"/>
      <c r="AO15" s="830"/>
      <c r="AP15" s="830"/>
      <c r="AQ15" s="830"/>
      <c r="AR15" s="830"/>
      <c r="AS15" s="830"/>
      <c r="AT15" s="830"/>
      <c r="AU15" s="830"/>
      <c r="AV15" s="830"/>
      <c r="AW15" s="830"/>
      <c r="AX15" s="830"/>
      <c r="AY15" s="830"/>
      <c r="AZ15" s="830"/>
      <c r="BA15" s="830"/>
      <c r="BB15" s="830"/>
      <c r="BC15" s="830"/>
      <c r="BD15" s="830"/>
      <c r="BE15" s="830"/>
      <c r="BF15" s="830"/>
      <c r="BG15" s="690">
        <v>13</v>
      </c>
    </row>
    <row r="16" spans="1:59" ht="10.5" customHeight="1">
      <c r="BG16" s="690">
        <v>10</v>
      </c>
    </row>
    <row r="17" spans="1:59" ht="10.5" customHeight="1">
      <c r="E17" s="830"/>
      <c r="F17" s="3316"/>
      <c r="G17" s="3316"/>
      <c r="H17" s="3316"/>
      <c r="I17" s="3316"/>
      <c r="J17" s="3316"/>
      <c r="K17" s="834"/>
      <c r="L17" s="1044"/>
      <c r="M17" s="1044"/>
      <c r="N17" s="836"/>
      <c r="O17" s="836"/>
      <c r="P17" s="836"/>
      <c r="Q17" s="836"/>
      <c r="R17" s="836"/>
      <c r="S17" s="836"/>
      <c r="T17" s="836"/>
      <c r="U17" s="836"/>
      <c r="V17" s="836"/>
      <c r="W17" s="836"/>
      <c r="X17" s="836"/>
      <c r="Y17" s="836"/>
      <c r="Z17" s="834"/>
      <c r="AA17" s="834"/>
      <c r="AB17" s="834"/>
      <c r="AC17" s="834"/>
      <c r="AD17" s="1044"/>
      <c r="AE17" s="834"/>
      <c r="AF17" s="834"/>
      <c r="AG17" s="834"/>
      <c r="AH17" s="1063"/>
      <c r="AI17" s="1056"/>
      <c r="AJ17" s="834"/>
      <c r="AK17" s="834"/>
      <c r="AL17" s="830"/>
      <c r="AM17" s="830"/>
      <c r="AN17" s="830"/>
      <c r="AO17" s="830"/>
      <c r="AP17" s="830"/>
      <c r="AQ17" s="830"/>
      <c r="AR17" s="830"/>
      <c r="AS17" s="830"/>
      <c r="AT17" s="830"/>
      <c r="AU17" s="830"/>
      <c r="AV17" s="830"/>
      <c r="AW17" s="830"/>
      <c r="AX17" s="830"/>
      <c r="AY17" s="830"/>
      <c r="AZ17" s="830"/>
      <c r="BA17" s="830"/>
      <c r="BB17" s="830"/>
      <c r="BC17" s="830"/>
      <c r="BD17" s="830"/>
      <c r="BE17" s="830"/>
      <c r="BF17" s="830"/>
      <c r="BG17" s="690">
        <v>10</v>
      </c>
    </row>
    <row r="18" spans="1:59" ht="10.5" customHeight="1">
      <c r="E18" s="830"/>
      <c r="F18" s="3316"/>
      <c r="G18" s="3316"/>
      <c r="H18" s="3316"/>
      <c r="I18" s="3316"/>
      <c r="J18" s="3316"/>
      <c r="K18" s="834"/>
      <c r="L18" s="1044"/>
      <c r="M18" s="1044"/>
      <c r="N18" s="836"/>
      <c r="O18" s="836"/>
      <c r="P18" s="836"/>
      <c r="Q18" s="836"/>
      <c r="R18" s="836"/>
      <c r="S18" s="836"/>
      <c r="T18" s="836"/>
      <c r="U18" s="836"/>
      <c r="V18" s="836"/>
      <c r="W18" s="836"/>
      <c r="X18" s="836"/>
      <c r="Y18" s="836"/>
      <c r="Z18" s="834"/>
      <c r="AA18" s="834"/>
      <c r="AB18" s="834"/>
      <c r="AC18" s="834"/>
      <c r="AD18" s="1044"/>
      <c r="AE18" s="834"/>
      <c r="AF18" s="834"/>
      <c r="AG18" s="834"/>
      <c r="AH18" s="1063"/>
      <c r="AI18" s="1056"/>
      <c r="AJ18" s="834"/>
      <c r="AK18" s="834"/>
      <c r="AL18" s="830"/>
      <c r="AM18" s="830"/>
      <c r="AN18" s="830"/>
      <c r="AO18" s="830"/>
      <c r="AP18" s="830"/>
      <c r="AQ18" s="830"/>
      <c r="AR18" s="830"/>
      <c r="AS18" s="830"/>
      <c r="AT18" s="830"/>
      <c r="AU18" s="830"/>
      <c r="AV18" s="830"/>
      <c r="AW18" s="830"/>
      <c r="AX18" s="830"/>
      <c r="AY18" s="830"/>
      <c r="AZ18" s="830"/>
      <c r="BA18" s="830"/>
      <c r="BB18" s="830"/>
      <c r="BC18" s="830"/>
      <c r="BD18" s="830"/>
      <c r="BE18" s="830"/>
      <c r="BF18" s="830"/>
      <c r="BG18" s="690">
        <v>10</v>
      </c>
    </row>
    <row r="19" spans="1:59" ht="10.5" customHeight="1">
      <c r="E19" s="830"/>
      <c r="F19" s="3316"/>
      <c r="G19" s="3316"/>
      <c r="H19" s="3316"/>
      <c r="I19" s="3316"/>
      <c r="J19" s="3316"/>
      <c r="K19" s="834"/>
      <c r="L19" s="1044"/>
      <c r="M19" s="1044"/>
      <c r="N19" s="836"/>
      <c r="O19" s="836"/>
      <c r="P19" s="836"/>
      <c r="Q19" s="836"/>
      <c r="R19" s="836"/>
      <c r="S19" s="836"/>
      <c r="T19" s="836"/>
      <c r="U19" s="836"/>
      <c r="V19" s="836"/>
      <c r="W19" s="836"/>
      <c r="X19" s="836"/>
      <c r="Y19" s="836"/>
      <c r="Z19" s="834"/>
      <c r="AA19" s="834"/>
      <c r="AB19" s="834"/>
      <c r="AC19" s="834"/>
      <c r="AD19" s="1044"/>
      <c r="AE19" s="834"/>
      <c r="AF19" s="834"/>
      <c r="AG19" s="834"/>
      <c r="AH19" s="1063"/>
      <c r="AI19" s="1056"/>
      <c r="AJ19" s="834"/>
      <c r="AK19" s="834"/>
      <c r="AL19" s="830"/>
      <c r="AM19" s="830"/>
      <c r="AN19" s="830"/>
      <c r="AO19" s="830"/>
      <c r="AP19" s="830"/>
      <c r="AQ19" s="830"/>
      <c r="AR19" s="830"/>
      <c r="AS19" s="830"/>
      <c r="AT19" s="830"/>
      <c r="AU19" s="830"/>
      <c r="AV19" s="830"/>
      <c r="AW19" s="830"/>
      <c r="AX19" s="830"/>
      <c r="AY19" s="830"/>
      <c r="AZ19" s="830"/>
      <c r="BA19" s="830"/>
      <c r="BB19" s="830"/>
      <c r="BC19" s="830"/>
      <c r="BD19" s="830"/>
      <c r="BE19" s="830"/>
      <c r="BF19" s="830"/>
      <c r="BG19" s="690">
        <v>10</v>
      </c>
    </row>
    <row r="20" spans="1:59" ht="10.5" hidden="1" customHeight="1">
      <c r="A20" s="818" t="s">
        <v>83</v>
      </c>
      <c r="B20" s="818">
        <v>0</v>
      </c>
      <c r="C20" s="818">
        <v>0</v>
      </c>
      <c r="D20" s="351">
        <v>0</v>
      </c>
      <c r="E20" s="443">
        <v>3</v>
      </c>
      <c r="F20" s="690">
        <v>14</v>
      </c>
      <c r="G20" s="690">
        <v>3</v>
      </c>
      <c r="H20" s="1072">
        <v>7</v>
      </c>
      <c r="I20" s="690">
        <v>16</v>
      </c>
      <c r="J20" s="690">
        <v>16</v>
      </c>
      <c r="K20" s="690">
        <v>25</v>
      </c>
      <c r="L20" s="1042">
        <v>7</v>
      </c>
      <c r="M20" s="1042">
        <v>15</v>
      </c>
      <c r="N20" s="690">
        <v>3</v>
      </c>
      <c r="O20" s="690">
        <v>4</v>
      </c>
      <c r="P20" s="690">
        <v>8</v>
      </c>
      <c r="Q20" s="690">
        <v>21</v>
      </c>
      <c r="R20" s="690">
        <v>14</v>
      </c>
      <c r="S20" s="690">
        <v>17</v>
      </c>
      <c r="T20" s="690">
        <v>17</v>
      </c>
      <c r="U20" s="690">
        <v>9</v>
      </c>
      <c r="V20" s="690">
        <v>12</v>
      </c>
      <c r="W20" s="690">
        <v>9</v>
      </c>
      <c r="X20" s="690">
        <v>21</v>
      </c>
      <c r="Y20" s="690">
        <v>12</v>
      </c>
      <c r="Z20" s="690">
        <v>3</v>
      </c>
      <c r="AA20" s="690">
        <v>6</v>
      </c>
      <c r="AB20" s="690">
        <v>38</v>
      </c>
      <c r="AC20" s="690">
        <v>15</v>
      </c>
      <c r="AD20" s="1042">
        <v>0</v>
      </c>
      <c r="AE20" s="690">
        <v>0</v>
      </c>
      <c r="AF20" s="690">
        <v>16</v>
      </c>
      <c r="AG20" s="690">
        <v>16</v>
      </c>
      <c r="AH20" s="1061">
        <v>16</v>
      </c>
      <c r="AI20" s="1054">
        <v>0</v>
      </c>
      <c r="AJ20" s="690">
        <v>0</v>
      </c>
      <c r="AK20" s="690">
        <v>0</v>
      </c>
      <c r="AL20" s="690">
        <v>8</v>
      </c>
      <c r="AM20" s="690">
        <v>8</v>
      </c>
      <c r="AN20" s="690">
        <v>8</v>
      </c>
      <c r="AO20" s="690">
        <v>8</v>
      </c>
      <c r="AP20" s="690">
        <v>8</v>
      </c>
      <c r="AQ20" s="690">
        <v>8</v>
      </c>
      <c r="AR20" s="690">
        <v>8</v>
      </c>
      <c r="AS20" s="690">
        <v>8</v>
      </c>
      <c r="AT20" s="690">
        <v>8</v>
      </c>
      <c r="AU20" s="690">
        <v>8</v>
      </c>
      <c r="AV20" s="690">
        <v>8</v>
      </c>
      <c r="AW20" s="690">
        <v>8</v>
      </c>
      <c r="AX20" s="690">
        <v>8</v>
      </c>
      <c r="AY20" s="690">
        <v>8</v>
      </c>
      <c r="AZ20" s="690">
        <v>8</v>
      </c>
      <c r="BA20" s="690">
        <v>8</v>
      </c>
      <c r="BB20" s="690">
        <v>8</v>
      </c>
      <c r="BC20" s="690">
        <v>8</v>
      </c>
      <c r="BD20" s="690">
        <v>8</v>
      </c>
      <c r="BE20" s="690">
        <v>8</v>
      </c>
      <c r="BF20" s="690">
        <v>8</v>
      </c>
      <c r="BG20" s="690">
        <v>10</v>
      </c>
    </row>
  </sheetData>
  <sheetProtection formatColumns="0" formatRows="0" insertRows="0" deleteColumns="0" deleteRows="0" sort="0" autoFilter="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487CAF-6A17-33A3-FA8D-881D7F0AC83B}">
  <sheetPr>
    <tabColor theme="9" tint="-0.249977111117893"/>
  </sheetPr>
  <dimension ref="A1:W59"/>
  <sheetViews>
    <sheetView showGridLines="0" topLeftCell="E4" zoomScale="85" workbookViewId="0"/>
  </sheetViews>
  <sheetFormatPr defaultColWidth="9.09765625" defaultRowHeight="10.5" customHeight="1"/>
  <cols>
    <col min="1" max="3" width="4.09765625" style="2986" hidden="1" customWidth="1"/>
    <col min="4" max="4" width="4.09765625" style="2016" hidden="1" customWidth="1"/>
    <col min="5" max="5" width="3" style="2004" customWidth="1"/>
    <col min="6" max="6" width="6" style="2004" customWidth="1"/>
    <col min="7" max="7" width="60" style="2004" customWidth="1"/>
    <col min="8" max="9" width="21.69921875" style="2004" hidden="1" customWidth="1"/>
    <col min="10" max="10" width="9.765625E-2" style="2004" customWidth="1"/>
    <col min="11" max="11" width="1" style="2004" customWidth="1"/>
    <col min="12" max="22" width="8" style="2004" customWidth="1"/>
    <col min="23" max="23" width="9.09765625" style="2004" hidden="1"/>
  </cols>
  <sheetData>
    <row r="1" spans="1:23" s="2016" customFormat="1" ht="10.5" hidden="1" customHeight="1">
      <c r="A1" s="1083"/>
      <c r="B1" s="1083"/>
      <c r="C1" s="1083"/>
      <c r="E1" s="471"/>
      <c r="W1" s="1077" t="s">
        <v>14</v>
      </c>
    </row>
    <row r="2" spans="1:23" ht="10.5" hidden="1" customHeight="1">
      <c r="W2" s="1072">
        <v>0</v>
      </c>
    </row>
    <row r="3" spans="1:23" s="2002" customFormat="1" ht="10.5" hidden="1" customHeight="1">
      <c r="A3" s="1083"/>
      <c r="B3" s="1083"/>
      <c r="C3" s="1083"/>
      <c r="D3" s="1077"/>
      <c r="E3" s="296"/>
      <c r="W3" s="1073">
        <v>0</v>
      </c>
    </row>
    <row r="4" spans="1:23" ht="3" customHeight="1">
      <c r="W4" s="1072">
        <v>3</v>
      </c>
    </row>
    <row r="5" spans="1:23" ht="27.25" customHeight="1">
      <c r="F5" s="3183"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3183"/>
      <c r="H5" s="3183"/>
      <c r="I5" s="3183"/>
      <c r="J5" s="3183"/>
      <c r="W5" s="1072">
        <v>26</v>
      </c>
    </row>
    <row r="6" spans="1:23" ht="10.5" customHeight="1">
      <c r="F6" s="3131" t="str">
        <f>IF(org=0,"Не определено",org)</f>
        <v>ООО "РСО"</v>
      </c>
      <c r="G6" s="3131"/>
      <c r="H6" s="3131"/>
      <c r="I6" s="3131"/>
      <c r="J6" s="3131"/>
      <c r="W6" s="1072">
        <v>10</v>
      </c>
    </row>
    <row r="7" spans="1:23" ht="11.5" customHeight="1">
      <c r="E7" s="1087"/>
      <c r="F7" s="1144"/>
      <c r="G7" s="1144"/>
      <c r="H7" s="1144"/>
      <c r="I7" s="1144"/>
      <c r="J7" s="1144"/>
      <c r="K7" s="1074"/>
      <c r="L7" s="1074"/>
      <c r="M7" s="1074"/>
      <c r="N7" s="1074"/>
      <c r="O7" s="1074"/>
      <c r="P7" s="1074"/>
      <c r="Q7" s="1074"/>
      <c r="R7" s="1074"/>
      <c r="S7" s="1074"/>
      <c r="T7" s="1074"/>
      <c r="U7" s="1074"/>
      <c r="V7" s="1074"/>
      <c r="W7" s="1072">
        <v>11</v>
      </c>
    </row>
    <row r="8" spans="1:23" s="2017" customFormat="1" ht="4.25" customHeight="1">
      <c r="A8" s="1084"/>
      <c r="B8" s="1084"/>
      <c r="C8" s="1084"/>
      <c r="E8" s="1145"/>
      <c r="F8" s="1146"/>
      <c r="G8" s="1146"/>
      <c r="H8" s="1146"/>
      <c r="I8" s="1146"/>
      <c r="J8" s="1146"/>
      <c r="K8" s="1145"/>
      <c r="L8" s="1145"/>
      <c r="M8" s="1145"/>
      <c r="N8" s="1145"/>
      <c r="O8" s="1145"/>
      <c r="P8" s="1145"/>
      <c r="Q8" s="1145"/>
      <c r="R8" s="1145"/>
      <c r="S8" s="1145"/>
      <c r="T8" s="1145"/>
      <c r="U8" s="1145"/>
      <c r="V8" s="1145"/>
      <c r="W8" s="445">
        <v>4</v>
      </c>
    </row>
    <row r="9" spans="1:23" ht="10.5" customHeight="1">
      <c r="E9" s="1087"/>
      <c r="F9" s="3321" t="s">
        <v>335</v>
      </c>
      <c r="G9" s="3322"/>
      <c r="H9" s="3322"/>
      <c r="I9" s="3322"/>
      <c r="J9" s="3322"/>
      <c r="K9" s="1157"/>
      <c r="L9" s="1074"/>
      <c r="M9" s="1074"/>
      <c r="N9" s="1074"/>
      <c r="O9" s="1074"/>
      <c r="P9" s="1074"/>
      <c r="Q9" s="1074"/>
      <c r="R9" s="1074"/>
      <c r="S9" s="1074"/>
      <c r="T9" s="1074"/>
      <c r="U9" s="1074"/>
      <c r="V9" s="1074"/>
      <c r="W9" s="1072">
        <v>10</v>
      </c>
    </row>
    <row r="10" spans="1:23" ht="25.25" customHeight="1">
      <c r="E10" s="1074"/>
      <c r="F10" s="3325" t="s">
        <v>89</v>
      </c>
      <c r="G10" s="3329" t="s">
        <v>1048</v>
      </c>
      <c r="H10" s="3311" t="s">
        <v>1049</v>
      </c>
      <c r="I10" s="3311"/>
      <c r="J10" s="3311"/>
      <c r="K10" s="1150"/>
      <c r="L10" s="1074"/>
      <c r="M10" s="1074"/>
      <c r="N10" s="1074"/>
      <c r="O10" s="1074"/>
      <c r="P10" s="1074"/>
      <c r="Q10" s="1074"/>
      <c r="R10" s="1074"/>
      <c r="S10" s="1074"/>
      <c r="T10" s="1074"/>
      <c r="U10" s="1074"/>
      <c r="V10" s="1074"/>
      <c r="W10" s="1072">
        <v>24</v>
      </c>
    </row>
    <row r="11" spans="1:23" ht="25.5" customHeight="1">
      <c r="E11" s="1074"/>
      <c r="F11" s="3326"/>
      <c r="G11" s="3329"/>
      <c r="H11" s="3328" t="e">
        <f>INDEX(IP_MAIN_LIST_NAME_IP,MATCH(H8,IP_MAIN_LIST_IP_ID,0))&amp;" ("&amp;INDEX(IP_MAIN_START_DATE,MATCH(H8,IP_MAIN_LIST_IP_ID,0))&amp;"-"&amp;INDEX(IP_MAIN_END_DATE,MATCH(H8,IP_MAIN_LIST_IP_ID,0))&amp;")"</f>
        <v>#N/A</v>
      </c>
      <c r="I11" s="3328"/>
      <c r="J11" s="3328"/>
      <c r="K11" s="1150"/>
      <c r="L11" s="1074"/>
      <c r="M11" s="1074"/>
      <c r="N11" s="1074"/>
      <c r="O11" s="1074"/>
      <c r="P11" s="1074"/>
      <c r="Q11" s="1074"/>
      <c r="R11" s="1074"/>
      <c r="S11" s="1074"/>
      <c r="T11" s="1074"/>
      <c r="U11" s="1074"/>
      <c r="V11" s="1074"/>
      <c r="W11" s="1072">
        <v>24</v>
      </c>
    </row>
    <row r="12" spans="1:23" ht="10.5" customHeight="1">
      <c r="F12" s="3327"/>
      <c r="G12" s="3329"/>
      <c r="H12" s="1143" t="s">
        <v>1050</v>
      </c>
      <c r="I12" s="1149"/>
      <c r="J12" s="1143"/>
      <c r="K12" s="1151"/>
      <c r="W12" s="1072">
        <v>10</v>
      </c>
    </row>
    <row r="13" spans="1:23" ht="10.5" hidden="1" customHeight="1">
      <c r="F13" s="1143">
        <v>1</v>
      </c>
      <c r="G13" s="1143">
        <v>2</v>
      </c>
      <c r="H13" s="1143">
        <v>3</v>
      </c>
      <c r="I13" s="1143">
        <v>4</v>
      </c>
      <c r="J13" s="1143">
        <v>5</v>
      </c>
      <c r="K13" s="1151"/>
      <c r="W13" s="1072">
        <v>0</v>
      </c>
    </row>
    <row r="14" spans="1:23" ht="11.5" customHeight="1">
      <c r="F14" s="1142" t="s">
        <v>1051</v>
      </c>
      <c r="G14" s="3323" t="s">
        <v>1052</v>
      </c>
      <c r="H14" s="3323"/>
      <c r="I14" s="3323"/>
      <c r="J14" s="3323"/>
      <c r="K14" s="1151"/>
      <c r="W14" s="1072">
        <v>11</v>
      </c>
    </row>
    <row r="15" spans="1:23" ht="11.5" customHeight="1">
      <c r="F15" s="1147">
        <v>1</v>
      </c>
      <c r="G15" s="624" t="s">
        <v>1053</v>
      </c>
      <c r="H15" s="1153">
        <f t="shared" ref="H15:H36" si="0">SUM(I15:J15)</f>
        <v>0</v>
      </c>
      <c r="I15" s="1153">
        <f>SUM(I16:I27)</f>
        <v>0</v>
      </c>
      <c r="J15" s="1142"/>
      <c r="K15" s="1151"/>
      <c r="W15" s="1072">
        <v>11</v>
      </c>
    </row>
    <row r="16" spans="1:23" ht="24" customHeight="1">
      <c r="F16" s="1147" t="s">
        <v>1054</v>
      </c>
      <c r="G16" s="1154" t="s">
        <v>1055</v>
      </c>
      <c r="H16" s="1153">
        <f t="shared" si="0"/>
        <v>0</v>
      </c>
      <c r="I16" s="1152"/>
      <c r="J16" s="1142"/>
      <c r="K16" s="1151"/>
      <c r="W16" s="1072">
        <v>23</v>
      </c>
    </row>
    <row r="17" spans="6:23" ht="24" customHeight="1">
      <c r="F17" s="1147" t="s">
        <v>1056</v>
      </c>
      <c r="G17" s="1154" t="s">
        <v>1057</v>
      </c>
      <c r="H17" s="1153">
        <f t="shared" si="0"/>
        <v>0</v>
      </c>
      <c r="I17" s="1152"/>
      <c r="J17" s="1142"/>
      <c r="K17" s="1151"/>
      <c r="W17" s="1072">
        <v>23</v>
      </c>
    </row>
    <row r="18" spans="6:23" ht="35.65" customHeight="1">
      <c r="F18" s="1147" t="s">
        <v>1058</v>
      </c>
      <c r="G18" s="1154" t="s">
        <v>1059</v>
      </c>
      <c r="H18" s="1153">
        <f t="shared" si="0"/>
        <v>0</v>
      </c>
      <c r="I18" s="1152"/>
      <c r="J18" s="1142"/>
      <c r="K18" s="1151"/>
      <c r="W18" s="1072">
        <v>34</v>
      </c>
    </row>
    <row r="19" spans="6:23" ht="35.65" customHeight="1">
      <c r="F19" s="1147" t="s">
        <v>1060</v>
      </c>
      <c r="G19" s="1154" t="s">
        <v>1061</v>
      </c>
      <c r="H19" s="1153">
        <f t="shared" si="0"/>
        <v>0</v>
      </c>
      <c r="I19" s="1152"/>
      <c r="J19" s="1142"/>
      <c r="K19" s="1151"/>
      <c r="W19" s="1072">
        <v>34</v>
      </c>
    </row>
    <row r="20" spans="6:23" ht="48.25" customHeight="1">
      <c r="F20" s="1147" t="s">
        <v>1062</v>
      </c>
      <c r="G20" s="1154" t="s">
        <v>1063</v>
      </c>
      <c r="H20" s="1153">
        <f t="shared" si="0"/>
        <v>0</v>
      </c>
      <c r="I20" s="1152"/>
      <c r="J20" s="1142"/>
      <c r="K20" s="1151"/>
      <c r="W20" s="1072">
        <v>46</v>
      </c>
    </row>
    <row r="21" spans="6:23" ht="35.65" customHeight="1">
      <c r="F21" s="1147" t="s">
        <v>1064</v>
      </c>
      <c r="G21" s="1154" t="s">
        <v>1065</v>
      </c>
      <c r="H21" s="1153">
        <f t="shared" si="0"/>
        <v>0</v>
      </c>
      <c r="I21" s="1152"/>
      <c r="J21" s="1142"/>
      <c r="K21" s="1151"/>
      <c r="W21" s="1072">
        <v>34</v>
      </c>
    </row>
    <row r="22" spans="6:23" ht="35.65" customHeight="1">
      <c r="F22" s="1147" t="s">
        <v>1066</v>
      </c>
      <c r="G22" s="1154" t="s">
        <v>1067</v>
      </c>
      <c r="H22" s="1153">
        <f t="shared" si="0"/>
        <v>0</v>
      </c>
      <c r="I22" s="1152"/>
      <c r="J22" s="1142"/>
      <c r="K22" s="1151"/>
      <c r="W22" s="1072">
        <v>34</v>
      </c>
    </row>
    <row r="23" spans="6:23" ht="24" customHeight="1">
      <c r="F23" s="1147" t="s">
        <v>1068</v>
      </c>
      <c r="G23" s="1154" t="s">
        <v>1069</v>
      </c>
      <c r="H23" s="1153">
        <f t="shared" si="0"/>
        <v>0</v>
      </c>
      <c r="I23" s="1152"/>
      <c r="J23" s="1142"/>
      <c r="K23" s="1151"/>
      <c r="W23" s="1072">
        <v>23</v>
      </c>
    </row>
    <row r="24" spans="6:23" ht="24" customHeight="1">
      <c r="F24" s="1147" t="s">
        <v>1070</v>
      </c>
      <c r="G24" s="1154" t="s">
        <v>1071</v>
      </c>
      <c r="H24" s="1153">
        <f t="shared" si="0"/>
        <v>0</v>
      </c>
      <c r="I24" s="1152"/>
      <c r="J24" s="1142"/>
      <c r="K24" s="1151"/>
      <c r="W24" s="1072">
        <v>23</v>
      </c>
    </row>
    <row r="25" spans="6:23" ht="35.65" customHeight="1">
      <c r="F25" s="1147" t="s">
        <v>1072</v>
      </c>
      <c r="G25" s="1154" t="s">
        <v>1073</v>
      </c>
      <c r="H25" s="1153">
        <f t="shared" si="0"/>
        <v>0</v>
      </c>
      <c r="I25" s="1152"/>
      <c r="J25" s="1142"/>
      <c r="K25" s="1151"/>
      <c r="W25" s="1072">
        <v>34</v>
      </c>
    </row>
    <row r="26" spans="6:23" ht="35.65" customHeight="1">
      <c r="F26" s="1147" t="s">
        <v>1074</v>
      </c>
      <c r="G26" s="1154" t="s">
        <v>1075</v>
      </c>
      <c r="H26" s="1153">
        <f t="shared" si="0"/>
        <v>0</v>
      </c>
      <c r="I26" s="1152"/>
      <c r="J26" s="1142"/>
      <c r="K26" s="1151"/>
      <c r="W26" s="1072">
        <v>34</v>
      </c>
    </row>
    <row r="27" spans="6:23" ht="11.5" customHeight="1">
      <c r="F27" s="1147" t="s">
        <v>1076</v>
      </c>
      <c r="G27" s="1154" t="s">
        <v>1077</v>
      </c>
      <c r="H27" s="1153">
        <f t="shared" si="0"/>
        <v>0</v>
      </c>
      <c r="I27" s="1152"/>
      <c r="J27" s="1142"/>
      <c r="K27" s="1151"/>
      <c r="W27" s="1072">
        <v>11</v>
      </c>
    </row>
    <row r="28" spans="6:23" ht="11.5" customHeight="1">
      <c r="F28" s="1147">
        <v>2</v>
      </c>
      <c r="G28" s="624" t="s">
        <v>1078</v>
      </c>
      <c r="H28" s="1153">
        <f t="shared" si="0"/>
        <v>0</v>
      </c>
      <c r="I28" s="1153">
        <f>SUM(I29:I31)</f>
        <v>0</v>
      </c>
      <c r="J28" s="1142"/>
      <c r="K28" s="1151"/>
      <c r="W28" s="1072">
        <v>11</v>
      </c>
    </row>
    <row r="29" spans="6:23" ht="11.5" customHeight="1">
      <c r="F29" s="1147" t="s">
        <v>741</v>
      </c>
      <c r="G29" s="1154" t="s">
        <v>1079</v>
      </c>
      <c r="H29" s="1153">
        <f t="shared" si="0"/>
        <v>0</v>
      </c>
      <c r="I29" s="1152"/>
      <c r="J29" s="1142"/>
      <c r="K29" s="1151"/>
      <c r="W29" s="1072">
        <v>11</v>
      </c>
    </row>
    <row r="30" spans="6:23" ht="11.5" customHeight="1">
      <c r="F30" s="1147" t="s">
        <v>342</v>
      </c>
      <c r="G30" s="1154" t="s">
        <v>1080</v>
      </c>
      <c r="H30" s="1153">
        <f t="shared" si="0"/>
        <v>0</v>
      </c>
      <c r="I30" s="1152"/>
      <c r="J30" s="1142"/>
      <c r="K30" s="1151"/>
      <c r="W30" s="1072">
        <v>11</v>
      </c>
    </row>
    <row r="31" spans="6:23" ht="11.5" customHeight="1">
      <c r="F31" s="1147" t="s">
        <v>345</v>
      </c>
      <c r="G31" s="1154" t="s">
        <v>1081</v>
      </c>
      <c r="H31" s="1153">
        <f t="shared" si="0"/>
        <v>0</v>
      </c>
      <c r="I31" s="1152"/>
      <c r="J31" s="1142"/>
      <c r="K31" s="1151"/>
      <c r="W31" s="1072">
        <v>11</v>
      </c>
    </row>
    <row r="32" spans="6:23" ht="11.5" customHeight="1">
      <c r="F32" s="1147">
        <v>3</v>
      </c>
      <c r="G32" s="624" t="s">
        <v>1082</v>
      </c>
      <c r="H32" s="1153">
        <f t="shared" si="0"/>
        <v>0</v>
      </c>
      <c r="I32" s="1153">
        <f>SUM(I33:I34)</f>
        <v>0</v>
      </c>
      <c r="J32" s="1142"/>
      <c r="K32" s="1151"/>
      <c r="W32" s="1072">
        <v>11</v>
      </c>
    </row>
    <row r="33" spans="6:23" ht="48.25" customHeight="1">
      <c r="F33" s="1147" t="s">
        <v>359</v>
      </c>
      <c r="G33" s="1154" t="s">
        <v>1083</v>
      </c>
      <c r="H33" s="1153">
        <f t="shared" si="0"/>
        <v>0</v>
      </c>
      <c r="I33" s="1152"/>
      <c r="J33" s="1142"/>
      <c r="K33" s="1151"/>
      <c r="W33" s="1072">
        <v>46</v>
      </c>
    </row>
    <row r="34" spans="6:23" ht="11.5" customHeight="1">
      <c r="F34" s="1147" t="s">
        <v>367</v>
      </c>
      <c r="G34" s="1154" t="s">
        <v>1084</v>
      </c>
      <c r="H34" s="1153">
        <f t="shared" si="0"/>
        <v>0</v>
      </c>
      <c r="I34" s="1152"/>
      <c r="J34" s="1142"/>
      <c r="K34" s="1151"/>
      <c r="W34" s="1072">
        <v>11</v>
      </c>
    </row>
    <row r="35" spans="6:23" ht="11.5" customHeight="1">
      <c r="F35" s="1147">
        <v>4</v>
      </c>
      <c r="G35" s="624" t="s">
        <v>1085</v>
      </c>
      <c r="H35" s="1153">
        <f t="shared" si="0"/>
        <v>0</v>
      </c>
      <c r="I35" s="1152"/>
      <c r="J35" s="1142"/>
      <c r="K35" s="1151"/>
      <c r="W35" s="1072">
        <v>11</v>
      </c>
    </row>
    <row r="36" spans="6:23" ht="11.5" customHeight="1">
      <c r="F36" s="1147"/>
      <c r="G36" s="627" t="s">
        <v>1086</v>
      </c>
      <c r="H36" s="1153">
        <f t="shared" si="0"/>
        <v>0</v>
      </c>
      <c r="I36" s="1153">
        <f>SUM(I15,I28,I32,I35)</f>
        <v>0</v>
      </c>
      <c r="J36" s="1142"/>
      <c r="K36" s="1151"/>
      <c r="W36" s="1072">
        <v>11</v>
      </c>
    </row>
    <row r="37" spans="6:23" ht="29.25" customHeight="1">
      <c r="F37" s="1148" t="s">
        <v>1087</v>
      </c>
      <c r="G37" s="3324" t="s">
        <v>1088</v>
      </c>
      <c r="H37" s="3324"/>
      <c r="I37" s="3324"/>
      <c r="J37" s="3324"/>
      <c r="K37" s="1151"/>
      <c r="W37" s="1072">
        <v>28</v>
      </c>
    </row>
    <row r="38" spans="6:23" ht="24" customHeight="1">
      <c r="F38" s="1147" t="s">
        <v>124</v>
      </c>
      <c r="G38" s="624" t="s">
        <v>1089</v>
      </c>
      <c r="H38" s="1153">
        <f t="shared" ref="H38:H58" si="1">SUM(I38:J38)</f>
        <v>0</v>
      </c>
      <c r="I38" s="1153">
        <f>SUM(I39,I44,I47)</f>
        <v>0</v>
      </c>
      <c r="J38" s="1142"/>
      <c r="K38" s="1151"/>
      <c r="W38" s="1072">
        <v>23</v>
      </c>
    </row>
    <row r="39" spans="6:23" ht="11.5" customHeight="1">
      <c r="F39" s="1147" t="s">
        <v>1054</v>
      </c>
      <c r="G39" s="1154" t="s">
        <v>1053</v>
      </c>
      <c r="H39" s="1153">
        <f t="shared" si="1"/>
        <v>0</v>
      </c>
      <c r="I39" s="1153">
        <f>SUM(I40:I43)</f>
        <v>0</v>
      </c>
      <c r="J39" s="1142"/>
      <c r="K39" s="1151"/>
      <c r="W39" s="1072">
        <v>11</v>
      </c>
    </row>
    <row r="40" spans="6:23" ht="24" customHeight="1">
      <c r="F40" s="1147" t="s">
        <v>1090</v>
      </c>
      <c r="G40" s="1155" t="s">
        <v>1091</v>
      </c>
      <c r="H40" s="1153">
        <f t="shared" si="1"/>
        <v>0</v>
      </c>
      <c r="I40" s="1152"/>
      <c r="J40" s="1142"/>
      <c r="K40" s="1151"/>
      <c r="W40" s="1072">
        <v>23</v>
      </c>
    </row>
    <row r="41" spans="6:23" ht="11.5" customHeight="1">
      <c r="F41" s="1147" t="s">
        <v>1092</v>
      </c>
      <c r="G41" s="1155" t="s">
        <v>1093</v>
      </c>
      <c r="H41" s="1153">
        <f t="shared" si="1"/>
        <v>0</v>
      </c>
      <c r="I41" s="1152"/>
      <c r="J41" s="1142"/>
      <c r="K41" s="1151"/>
      <c r="W41" s="1072">
        <v>11</v>
      </c>
    </row>
    <row r="42" spans="6:23" ht="11.5" customHeight="1">
      <c r="F42" s="1147" t="s">
        <v>1094</v>
      </c>
      <c r="G42" s="1155" t="s">
        <v>1095</v>
      </c>
      <c r="H42" s="1153">
        <f t="shared" si="1"/>
        <v>0</v>
      </c>
      <c r="I42" s="1152"/>
      <c r="J42" s="1142"/>
      <c r="K42" s="1151"/>
      <c r="W42" s="1072">
        <v>11</v>
      </c>
    </row>
    <row r="43" spans="6:23" ht="35.65" customHeight="1">
      <c r="F43" s="1147" t="s">
        <v>1096</v>
      </c>
      <c r="G43" s="1155" t="s">
        <v>1097</v>
      </c>
      <c r="H43" s="1153">
        <f t="shared" si="1"/>
        <v>0</v>
      </c>
      <c r="I43" s="1152"/>
      <c r="J43" s="1142"/>
      <c r="K43" s="1151"/>
      <c r="W43" s="1072">
        <v>34</v>
      </c>
    </row>
    <row r="44" spans="6:23" ht="11.5" customHeight="1">
      <c r="F44" s="1147" t="s">
        <v>1056</v>
      </c>
      <c r="G44" s="1154" t="s">
        <v>1082</v>
      </c>
      <c r="H44" s="1153">
        <f t="shared" si="1"/>
        <v>0</v>
      </c>
      <c r="I44" s="1153">
        <f>SUM(I45:I46)</f>
        <v>0</v>
      </c>
      <c r="J44" s="1142"/>
      <c r="K44" s="1151"/>
      <c r="W44" s="1072">
        <v>11</v>
      </c>
    </row>
    <row r="45" spans="6:23" ht="48.25" customHeight="1">
      <c r="F45" s="1147" t="s">
        <v>1098</v>
      </c>
      <c r="G45" s="1155" t="s">
        <v>1083</v>
      </c>
      <c r="H45" s="1153">
        <f t="shared" si="1"/>
        <v>0</v>
      </c>
      <c r="I45" s="1152"/>
      <c r="J45" s="1142"/>
      <c r="K45" s="1151"/>
      <c r="W45" s="1072">
        <v>46</v>
      </c>
    </row>
    <row r="46" spans="6:23" ht="11.5" customHeight="1">
      <c r="F46" s="1147" t="s">
        <v>1099</v>
      </c>
      <c r="G46" s="1155" t="s">
        <v>1084</v>
      </c>
      <c r="H46" s="1153">
        <f t="shared" si="1"/>
        <v>0</v>
      </c>
      <c r="I46" s="1152"/>
      <c r="J46" s="1142"/>
      <c r="K46" s="1151"/>
      <c r="W46" s="1072">
        <v>11</v>
      </c>
    </row>
    <row r="47" spans="6:23" ht="11.5" customHeight="1">
      <c r="F47" s="1147" t="s">
        <v>1058</v>
      </c>
      <c r="G47" s="1154" t="s">
        <v>1100</v>
      </c>
      <c r="H47" s="1153">
        <f t="shared" si="1"/>
        <v>0</v>
      </c>
      <c r="I47" s="1152"/>
      <c r="J47" s="1142"/>
      <c r="K47" s="1151"/>
      <c r="W47" s="1072">
        <v>11</v>
      </c>
    </row>
    <row r="48" spans="6:23" ht="24" customHeight="1">
      <c r="F48" s="1147" t="s">
        <v>104</v>
      </c>
      <c r="G48" s="624" t="s">
        <v>1101</v>
      </c>
      <c r="H48" s="1153">
        <f t="shared" si="1"/>
        <v>0</v>
      </c>
      <c r="I48" s="1153">
        <f>SUM(I49,I54,I57)</f>
        <v>0</v>
      </c>
      <c r="J48" s="1142"/>
      <c r="K48" s="1151"/>
      <c r="W48" s="1072">
        <v>23</v>
      </c>
    </row>
    <row r="49" spans="1:23" ht="11.5" customHeight="1">
      <c r="F49" s="1147" t="s">
        <v>741</v>
      </c>
      <c r="G49" s="1154" t="s">
        <v>1053</v>
      </c>
      <c r="H49" s="1153">
        <f t="shared" si="1"/>
        <v>0</v>
      </c>
      <c r="I49" s="1153">
        <f>SUM(I50:I53)</f>
        <v>0</v>
      </c>
      <c r="J49" s="1142"/>
      <c r="K49" s="1151"/>
      <c r="W49" s="1072">
        <v>11</v>
      </c>
    </row>
    <row r="50" spans="1:23" ht="24" customHeight="1">
      <c r="F50" s="1147" t="s">
        <v>744</v>
      </c>
      <c r="G50" s="1155" t="s">
        <v>1091</v>
      </c>
      <c r="H50" s="1153">
        <f t="shared" si="1"/>
        <v>0</v>
      </c>
      <c r="I50" s="1152"/>
      <c r="J50" s="1142"/>
      <c r="K50" s="1151"/>
      <c r="W50" s="1072">
        <v>23</v>
      </c>
    </row>
    <row r="51" spans="1:23" ht="11.5" customHeight="1">
      <c r="F51" s="1147" t="s">
        <v>747</v>
      </c>
      <c r="G51" s="1155" t="s">
        <v>1093</v>
      </c>
      <c r="H51" s="1153">
        <f t="shared" si="1"/>
        <v>0</v>
      </c>
      <c r="I51" s="1152"/>
      <c r="J51" s="1142"/>
      <c r="K51" s="1151"/>
      <c r="W51" s="1072">
        <v>11</v>
      </c>
    </row>
    <row r="52" spans="1:23" ht="11.5" customHeight="1">
      <c r="F52" s="1147" t="s">
        <v>1102</v>
      </c>
      <c r="G52" s="1155" t="s">
        <v>1095</v>
      </c>
      <c r="H52" s="1153">
        <f t="shared" si="1"/>
        <v>0</v>
      </c>
      <c r="I52" s="1152"/>
      <c r="J52" s="1142"/>
      <c r="K52" s="1151"/>
      <c r="W52" s="1072">
        <v>11</v>
      </c>
    </row>
    <row r="53" spans="1:23" ht="35.65" customHeight="1">
      <c r="F53" s="1147" t="s">
        <v>1103</v>
      </c>
      <c r="G53" s="1155" t="s">
        <v>1097</v>
      </c>
      <c r="H53" s="1153">
        <f t="shared" si="1"/>
        <v>0</v>
      </c>
      <c r="I53" s="1152"/>
      <c r="J53" s="1142"/>
      <c r="K53" s="1151"/>
      <c r="W53" s="1072">
        <v>34</v>
      </c>
    </row>
    <row r="54" spans="1:23" ht="11.5" customHeight="1">
      <c r="F54" s="1147" t="s">
        <v>342</v>
      </c>
      <c r="G54" s="1154" t="s">
        <v>1082</v>
      </c>
      <c r="H54" s="1153">
        <f t="shared" si="1"/>
        <v>0</v>
      </c>
      <c r="I54" s="1153">
        <f>SUM(I55:I56)</f>
        <v>0</v>
      </c>
      <c r="J54" s="1142"/>
      <c r="K54" s="1151"/>
      <c r="W54" s="1072">
        <v>11</v>
      </c>
    </row>
    <row r="55" spans="1:23" ht="48.25" customHeight="1">
      <c r="F55" s="1147" t="s">
        <v>751</v>
      </c>
      <c r="G55" s="1155" t="s">
        <v>1083</v>
      </c>
      <c r="H55" s="1153">
        <f t="shared" si="1"/>
        <v>0</v>
      </c>
      <c r="I55" s="1152"/>
      <c r="J55" s="1142"/>
      <c r="K55" s="1151"/>
      <c r="W55" s="1072">
        <v>46</v>
      </c>
    </row>
    <row r="56" spans="1:23" ht="11.5" customHeight="1">
      <c r="F56" s="1147" t="s">
        <v>753</v>
      </c>
      <c r="G56" s="1155" t="s">
        <v>1084</v>
      </c>
      <c r="H56" s="1153">
        <f t="shared" si="1"/>
        <v>0</v>
      </c>
      <c r="I56" s="1152"/>
      <c r="J56" s="1142"/>
      <c r="K56" s="1151"/>
      <c r="W56" s="1072">
        <v>11</v>
      </c>
    </row>
    <row r="57" spans="1:23" ht="11.5" customHeight="1">
      <c r="F57" s="1147" t="s">
        <v>345</v>
      </c>
      <c r="G57" s="1154" t="s">
        <v>1100</v>
      </c>
      <c r="H57" s="1153">
        <f t="shared" si="1"/>
        <v>0</v>
      </c>
      <c r="I57" s="1152"/>
      <c r="J57" s="1142"/>
      <c r="K57" s="1151"/>
      <c r="W57" s="1072">
        <v>11</v>
      </c>
    </row>
    <row r="58" spans="1:23" ht="11.5" customHeight="1">
      <c r="F58" s="1147"/>
      <c r="G58" s="1156" t="s">
        <v>1086</v>
      </c>
      <c r="H58" s="1153">
        <f t="shared" si="1"/>
        <v>0</v>
      </c>
      <c r="I58" s="1153">
        <f>SUM(I38,I48)</f>
        <v>0</v>
      </c>
      <c r="J58" s="1142"/>
      <c r="K58" s="1151"/>
      <c r="W58" s="1072">
        <v>11</v>
      </c>
    </row>
    <row r="59" spans="1:23" ht="10.5" hidden="1" customHeight="1">
      <c r="A59" s="1083" t="s">
        <v>83</v>
      </c>
      <c r="B59" s="1083">
        <v>0</v>
      </c>
      <c r="C59" s="1083">
        <v>0</v>
      </c>
      <c r="D59" s="1077">
        <v>0</v>
      </c>
      <c r="E59" s="443">
        <v>3</v>
      </c>
      <c r="F59" s="1072">
        <v>6</v>
      </c>
      <c r="G59" s="1072">
        <v>60</v>
      </c>
      <c r="H59" s="1072">
        <v>0</v>
      </c>
      <c r="I59" s="1072">
        <v>0</v>
      </c>
      <c r="J59" s="1072">
        <v>0</v>
      </c>
      <c r="K59" s="1072">
        <v>1</v>
      </c>
      <c r="L59" s="1072">
        <v>8</v>
      </c>
      <c r="M59" s="1072">
        <v>8</v>
      </c>
      <c r="N59" s="1072">
        <v>8</v>
      </c>
      <c r="O59" s="1072">
        <v>8</v>
      </c>
      <c r="P59" s="1072">
        <v>8</v>
      </c>
      <c r="Q59" s="1072">
        <v>8</v>
      </c>
      <c r="R59" s="1072">
        <v>8</v>
      </c>
      <c r="S59" s="1072">
        <v>8</v>
      </c>
      <c r="T59" s="1072">
        <v>8</v>
      </c>
      <c r="U59" s="1072">
        <v>8</v>
      </c>
      <c r="V59" s="1072">
        <v>8</v>
      </c>
      <c r="W59" s="1072">
        <v>10</v>
      </c>
    </row>
  </sheetData>
  <sheetProtection formatColumns="0" formatRows="0" insertRows="0" deleteColumns="0" deleteRows="0" sort="0" autoFilter="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xr:uid="{00000000-0002-0000-2A00-00000000000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F23A73-DBB8-F24E-4182-6C370123B2D8}">
  <sheetPr>
    <tabColor theme="9" tint="-0.249977111117893"/>
  </sheetPr>
  <dimension ref="A1:GC25"/>
  <sheetViews>
    <sheetView showGridLines="0" topLeftCell="E4" zoomScale="90" workbookViewId="0"/>
  </sheetViews>
  <sheetFormatPr defaultColWidth="9.09765625" defaultRowHeight="12" customHeight="1"/>
  <cols>
    <col min="1" max="1" width="4.69921875" style="2992" hidden="1" customWidth="1"/>
    <col min="2" max="2" width="4.69921875" style="2993" hidden="1" customWidth="1"/>
    <col min="3" max="4" width="4.69921875" style="2992" hidden="1" customWidth="1"/>
    <col min="5" max="5" width="3" style="2992" customWidth="1"/>
    <col min="6" max="6" width="6" style="2992" customWidth="1"/>
    <col min="7" max="7" width="18" style="2992" customWidth="1"/>
    <col min="8" max="8" width="27" style="2992" customWidth="1"/>
    <col min="9" max="9" width="18" style="2992" customWidth="1"/>
    <col min="10" max="14" width="0.796875" style="2992" hidden="1" customWidth="1"/>
    <col min="15" max="28" width="21.69921875" style="2992" customWidth="1"/>
    <col min="29" max="71" width="0.796875" style="2992" customWidth="1"/>
    <col min="72" max="79" width="21.69921875" style="2992" hidden="1" customWidth="1"/>
    <col min="80" max="81" width="29.09765625" style="2992" hidden="1" customWidth="1"/>
    <col min="82" max="89" width="21.69921875" style="2992" hidden="1" customWidth="1"/>
    <col min="90" max="102" width="0.69921875" style="2992" hidden="1" customWidth="1"/>
    <col min="103" max="114" width="21.69921875" style="2992" hidden="1" customWidth="1"/>
    <col min="115" max="178" width="0.69921875" style="2992" hidden="1" customWidth="1"/>
    <col min="179" max="179" width="9.765625E-2" style="2992" customWidth="1"/>
    <col min="180" max="184" width="8" style="2992" customWidth="1"/>
    <col min="185" max="185" width="9.09765625" style="2992" hidden="1"/>
  </cols>
  <sheetData>
    <row r="1" spans="2:185" s="2988" customFormat="1" ht="12" hidden="1" customHeight="1">
      <c r="B1" s="846"/>
      <c r="C1" s="847"/>
      <c r="D1" s="847"/>
      <c r="GC1" s="845" t="s">
        <v>14</v>
      </c>
    </row>
    <row r="2" spans="2:185" s="2988" customFormat="1" ht="12" hidden="1" customHeight="1">
      <c r="B2" s="846"/>
      <c r="C2" s="847"/>
      <c r="D2" s="847"/>
      <c r="E2" s="847"/>
      <c r="F2" s="847"/>
      <c r="G2" s="847"/>
      <c r="H2" s="847"/>
      <c r="I2" s="847"/>
      <c r="J2" s="847"/>
      <c r="K2" s="847"/>
      <c r="L2" s="847"/>
      <c r="M2" s="847"/>
      <c r="N2" s="847"/>
      <c r="O2" s="847"/>
      <c r="P2" s="847"/>
      <c r="Q2" s="847"/>
      <c r="R2" s="847"/>
      <c r="S2" s="847"/>
      <c r="T2" s="847"/>
      <c r="U2" s="847"/>
      <c r="V2" s="847"/>
      <c r="W2" s="847"/>
      <c r="X2" s="847"/>
      <c r="Y2" s="847"/>
      <c r="Z2" s="847"/>
      <c r="AA2" s="847"/>
      <c r="AB2" s="848"/>
      <c r="AC2" s="847"/>
      <c r="AD2" s="847"/>
      <c r="AE2" s="847"/>
      <c r="AF2" s="847"/>
      <c r="AG2" s="847"/>
      <c r="AH2" s="847"/>
      <c r="AI2" s="847"/>
      <c r="AJ2" s="847"/>
      <c r="AK2" s="847"/>
      <c r="AL2" s="847"/>
      <c r="AM2" s="847"/>
      <c r="AN2" s="847"/>
      <c r="AO2" s="847"/>
      <c r="AP2" s="847"/>
      <c r="AQ2" s="847"/>
      <c r="AR2" s="847"/>
      <c r="AS2" s="847"/>
      <c r="AT2" s="847"/>
      <c r="AU2" s="847"/>
      <c r="AV2" s="847"/>
      <c r="AW2" s="847"/>
      <c r="AX2" s="847"/>
      <c r="AY2" s="847"/>
      <c r="AZ2" s="847"/>
      <c r="BA2" s="847"/>
      <c r="BB2" s="847"/>
      <c r="BC2" s="847"/>
      <c r="BD2" s="847"/>
      <c r="BE2" s="847"/>
      <c r="BF2" s="847"/>
      <c r="BG2" s="847"/>
      <c r="BH2" s="847"/>
      <c r="BI2" s="847"/>
      <c r="BJ2" s="847"/>
      <c r="BK2" s="847"/>
      <c r="BL2" s="847"/>
      <c r="BM2" s="847"/>
      <c r="BN2" s="847"/>
      <c r="BO2" s="847"/>
      <c r="BP2" s="847"/>
      <c r="BQ2" s="847"/>
      <c r="BR2" s="847"/>
      <c r="BS2" s="847"/>
      <c r="BT2" s="847"/>
      <c r="BU2" s="847"/>
      <c r="BV2" s="847"/>
      <c r="BW2" s="847"/>
      <c r="BX2" s="847"/>
      <c r="BY2" s="847"/>
      <c r="BZ2" s="847"/>
      <c r="CA2" s="847"/>
      <c r="CB2" s="847"/>
      <c r="CC2" s="847"/>
      <c r="CD2" s="847"/>
      <c r="CE2" s="847"/>
      <c r="CF2" s="847"/>
      <c r="CG2" s="847"/>
      <c r="CH2" s="847"/>
      <c r="CI2" s="847"/>
      <c r="CJ2" s="847"/>
      <c r="CK2" s="847"/>
      <c r="CL2" s="847"/>
      <c r="CM2" s="847"/>
      <c r="CN2" s="847"/>
      <c r="CO2" s="847"/>
      <c r="CP2" s="847"/>
      <c r="CQ2" s="847"/>
      <c r="CR2" s="847"/>
      <c r="CS2" s="847"/>
      <c r="CT2" s="847"/>
      <c r="CU2" s="847"/>
      <c r="CV2" s="847"/>
      <c r="CW2" s="847"/>
      <c r="CX2" s="847"/>
      <c r="CY2" s="847"/>
      <c r="CZ2" s="847"/>
      <c r="DA2" s="847"/>
      <c r="DB2" s="847"/>
      <c r="DC2" s="847"/>
      <c r="DD2" s="847"/>
      <c r="DE2" s="847"/>
      <c r="DF2" s="847"/>
      <c r="DG2" s="847"/>
      <c r="DH2" s="847"/>
      <c r="DI2" s="847"/>
      <c r="DJ2" s="847"/>
      <c r="DK2" s="847"/>
      <c r="DL2" s="847"/>
      <c r="DM2" s="847"/>
      <c r="DN2" s="847"/>
      <c r="DO2" s="847"/>
      <c r="DP2" s="847"/>
      <c r="DQ2" s="847"/>
      <c r="DR2" s="847"/>
      <c r="DS2" s="847"/>
      <c r="DT2" s="847"/>
      <c r="DU2" s="847"/>
      <c r="DV2" s="847"/>
      <c r="DW2" s="847"/>
      <c r="DX2" s="847"/>
      <c r="DY2" s="847"/>
      <c r="DZ2" s="847"/>
      <c r="EA2" s="847"/>
      <c r="EB2" s="847"/>
      <c r="EC2" s="847"/>
      <c r="ED2" s="847"/>
      <c r="EE2" s="847"/>
      <c r="EF2" s="847"/>
      <c r="EG2" s="847"/>
      <c r="EH2" s="847"/>
      <c r="EI2" s="847"/>
      <c r="EJ2" s="847"/>
      <c r="EK2" s="847"/>
      <c r="EL2" s="847"/>
      <c r="EM2" s="847"/>
      <c r="EN2" s="847"/>
      <c r="EO2" s="847"/>
      <c r="EP2" s="847"/>
      <c r="EQ2" s="847"/>
      <c r="ER2" s="847"/>
      <c r="ES2" s="847"/>
      <c r="ET2" s="847"/>
      <c r="EU2" s="847"/>
      <c r="EV2" s="847"/>
      <c r="EW2" s="847"/>
      <c r="EX2" s="847"/>
      <c r="EY2" s="847"/>
      <c r="EZ2" s="847"/>
      <c r="FA2" s="847"/>
      <c r="FB2" s="847"/>
      <c r="FC2" s="847"/>
      <c r="FD2" s="847"/>
      <c r="FE2" s="847"/>
      <c r="FF2" s="847"/>
      <c r="FG2" s="847"/>
      <c r="FH2" s="847"/>
      <c r="FI2" s="847"/>
      <c r="FJ2" s="847"/>
      <c r="FK2" s="847"/>
      <c r="FL2" s="847"/>
      <c r="FM2" s="847"/>
      <c r="FN2" s="847"/>
      <c r="FO2" s="847"/>
      <c r="FP2" s="847"/>
      <c r="FQ2" s="847"/>
      <c r="FR2" s="847"/>
      <c r="FS2" s="847"/>
      <c r="FT2" s="847"/>
      <c r="FU2" s="847"/>
      <c r="FV2" s="847"/>
      <c r="FW2" s="847"/>
      <c r="GC2" s="845">
        <v>0</v>
      </c>
    </row>
    <row r="3" spans="2:185" s="2988" customFormat="1" ht="12" hidden="1" customHeight="1">
      <c r="B3" s="846"/>
      <c r="C3" s="847"/>
      <c r="D3" s="847"/>
      <c r="E3" s="847"/>
      <c r="F3" s="847"/>
      <c r="G3" s="847"/>
      <c r="H3" s="847"/>
      <c r="I3" s="847"/>
      <c r="J3" s="847"/>
      <c r="K3" s="847"/>
      <c r="L3" s="847"/>
      <c r="M3" s="847"/>
      <c r="N3" s="847"/>
      <c r="O3" s="847"/>
      <c r="P3" s="847"/>
      <c r="Q3" s="847"/>
      <c r="R3" s="847"/>
      <c r="S3" s="847"/>
      <c r="T3" s="847"/>
      <c r="U3" s="847"/>
      <c r="V3" s="847"/>
      <c r="W3" s="847"/>
      <c r="X3" s="847"/>
      <c r="Y3" s="847"/>
      <c r="Z3" s="847"/>
      <c r="AA3" s="847"/>
      <c r="AB3" s="848"/>
      <c r="AC3" s="847"/>
      <c r="AD3" s="847"/>
      <c r="AE3" s="847"/>
      <c r="AF3" s="847"/>
      <c r="AG3" s="847"/>
      <c r="AH3" s="847"/>
      <c r="AI3" s="847"/>
      <c r="AJ3" s="847"/>
      <c r="AK3" s="847"/>
      <c r="AL3" s="847"/>
      <c r="AM3" s="847"/>
      <c r="AN3" s="847"/>
      <c r="AO3" s="847"/>
      <c r="AP3" s="847"/>
      <c r="AQ3" s="847"/>
      <c r="AR3" s="847"/>
      <c r="AS3" s="847"/>
      <c r="AT3" s="847"/>
      <c r="AU3" s="847"/>
      <c r="AV3" s="847"/>
      <c r="AW3" s="847"/>
      <c r="AX3" s="847"/>
      <c r="AY3" s="847"/>
      <c r="AZ3" s="847"/>
      <c r="BA3" s="847"/>
      <c r="BB3" s="847"/>
      <c r="BC3" s="847"/>
      <c r="BD3" s="847"/>
      <c r="BE3" s="847"/>
      <c r="BF3" s="847"/>
      <c r="BG3" s="847"/>
      <c r="BH3" s="847"/>
      <c r="BI3" s="847"/>
      <c r="BJ3" s="847"/>
      <c r="BK3" s="847"/>
      <c r="BL3" s="847"/>
      <c r="BM3" s="847"/>
      <c r="BN3" s="847"/>
      <c r="BO3" s="847"/>
      <c r="BP3" s="847"/>
      <c r="BQ3" s="847"/>
      <c r="BR3" s="847"/>
      <c r="BS3" s="847"/>
      <c r="BT3" s="847"/>
      <c r="BU3" s="847"/>
      <c r="BV3" s="847"/>
      <c r="BW3" s="847"/>
      <c r="BX3" s="847"/>
      <c r="BY3" s="847"/>
      <c r="BZ3" s="847"/>
      <c r="CA3" s="847"/>
      <c r="CB3" s="847"/>
      <c r="CC3" s="847"/>
      <c r="CD3" s="847"/>
      <c r="CE3" s="847"/>
      <c r="CF3" s="847"/>
      <c r="CG3" s="847"/>
      <c r="CH3" s="847"/>
      <c r="CI3" s="847"/>
      <c r="CJ3" s="847"/>
      <c r="CK3" s="847"/>
      <c r="CL3" s="847"/>
      <c r="CM3" s="847"/>
      <c r="CN3" s="847"/>
      <c r="CO3" s="847"/>
      <c r="CP3" s="847"/>
      <c r="CQ3" s="847"/>
      <c r="CR3" s="847"/>
      <c r="CS3" s="847"/>
      <c r="CT3" s="847"/>
      <c r="CU3" s="847"/>
      <c r="CV3" s="847"/>
      <c r="CW3" s="847"/>
      <c r="CX3" s="847"/>
      <c r="CY3" s="847"/>
      <c r="CZ3" s="847"/>
      <c r="DA3" s="847"/>
      <c r="DB3" s="847"/>
      <c r="DC3" s="847"/>
      <c r="DD3" s="847"/>
      <c r="DE3" s="847"/>
      <c r="DF3" s="847"/>
      <c r="DG3" s="847"/>
      <c r="DH3" s="847"/>
      <c r="DI3" s="847"/>
      <c r="DJ3" s="847"/>
      <c r="DK3" s="847"/>
      <c r="DL3" s="847"/>
      <c r="DM3" s="847"/>
      <c r="DN3" s="847"/>
      <c r="DO3" s="847"/>
      <c r="DP3" s="847"/>
      <c r="DQ3" s="847"/>
      <c r="DR3" s="847"/>
      <c r="DS3" s="847"/>
      <c r="DT3" s="847"/>
      <c r="DU3" s="847"/>
      <c r="DV3" s="847"/>
      <c r="DW3" s="847"/>
      <c r="DX3" s="847"/>
      <c r="DY3" s="847"/>
      <c r="DZ3" s="847"/>
      <c r="EA3" s="847"/>
      <c r="EB3" s="847"/>
      <c r="EC3" s="847"/>
      <c r="ED3" s="847"/>
      <c r="EE3" s="847"/>
      <c r="EF3" s="847"/>
      <c r="EG3" s="847"/>
      <c r="EH3" s="847"/>
      <c r="EI3" s="847"/>
      <c r="EJ3" s="847"/>
      <c r="EK3" s="847"/>
      <c r="EL3" s="847"/>
      <c r="EM3" s="847"/>
      <c r="EN3" s="847"/>
      <c r="EO3" s="847"/>
      <c r="EP3" s="847"/>
      <c r="EQ3" s="847"/>
      <c r="ER3" s="847"/>
      <c r="ES3" s="847"/>
      <c r="ET3" s="847"/>
      <c r="EU3" s="847"/>
      <c r="EV3" s="847"/>
      <c r="EW3" s="847"/>
      <c r="EX3" s="847"/>
      <c r="EY3" s="847"/>
      <c r="EZ3" s="847"/>
      <c r="FA3" s="847"/>
      <c r="FB3" s="847"/>
      <c r="FC3" s="847"/>
      <c r="FD3" s="847"/>
      <c r="FE3" s="847"/>
      <c r="FF3" s="847"/>
      <c r="FG3" s="847"/>
      <c r="FH3" s="847"/>
      <c r="FI3" s="847"/>
      <c r="FJ3" s="847"/>
      <c r="FK3" s="847"/>
      <c r="FL3" s="847"/>
      <c r="FM3" s="847"/>
      <c r="FN3" s="847"/>
      <c r="FO3" s="847"/>
      <c r="FP3" s="847"/>
      <c r="FQ3" s="847"/>
      <c r="FR3" s="847"/>
      <c r="FS3" s="847"/>
      <c r="FT3" s="847"/>
      <c r="FU3" s="847"/>
      <c r="FV3" s="847"/>
      <c r="FW3" s="847"/>
      <c r="GC3" s="845">
        <v>0</v>
      </c>
    </row>
    <row r="4" spans="2:185" ht="10.5" customHeight="1">
      <c r="B4" s="850"/>
      <c r="C4" s="851"/>
      <c r="D4" s="851"/>
      <c r="E4" s="851"/>
      <c r="F4" s="851"/>
      <c r="G4" s="851"/>
      <c r="H4" s="852"/>
      <c r="I4" s="852"/>
      <c r="J4" s="852"/>
      <c r="K4" s="852"/>
      <c r="L4" s="852"/>
      <c r="M4" s="853"/>
      <c r="N4" s="853"/>
      <c r="O4" s="853"/>
      <c r="P4" s="853"/>
      <c r="Q4" s="853"/>
      <c r="R4" s="853"/>
      <c r="S4" s="853"/>
      <c r="T4" s="853"/>
      <c r="U4" s="853"/>
      <c r="V4" s="853"/>
      <c r="W4" s="853"/>
      <c r="X4" s="853"/>
      <c r="Y4" s="853"/>
      <c r="Z4" s="853"/>
      <c r="AA4" s="853"/>
      <c r="AB4" s="853"/>
      <c r="AC4" s="853"/>
      <c r="AD4" s="853"/>
      <c r="AE4" s="853"/>
      <c r="AF4" s="853"/>
      <c r="AG4" s="853"/>
      <c r="AH4" s="853"/>
      <c r="AI4" s="853"/>
      <c r="AJ4" s="853"/>
      <c r="AK4" s="853"/>
      <c r="AL4" s="853"/>
      <c r="AM4" s="853"/>
      <c r="AN4" s="853"/>
      <c r="AO4" s="853"/>
      <c r="AP4" s="853"/>
      <c r="AQ4" s="853"/>
      <c r="AR4" s="853"/>
      <c r="AS4" s="853"/>
      <c r="AT4" s="853"/>
      <c r="AU4" s="853"/>
      <c r="AV4" s="853"/>
      <c r="AW4" s="853"/>
      <c r="AX4" s="853"/>
      <c r="AY4" s="853"/>
      <c r="AZ4" s="853"/>
      <c r="BA4" s="853"/>
      <c r="BB4" s="853"/>
      <c r="BC4" s="853"/>
      <c r="BD4" s="853"/>
      <c r="BE4" s="853"/>
      <c r="BF4" s="853"/>
      <c r="BG4" s="853"/>
      <c r="BH4" s="853"/>
      <c r="BI4" s="853"/>
      <c r="BJ4" s="853"/>
      <c r="BK4" s="853"/>
      <c r="BL4" s="853"/>
      <c r="BM4" s="853"/>
      <c r="BN4" s="853"/>
      <c r="BO4" s="853"/>
      <c r="BP4" s="853"/>
      <c r="BQ4" s="853"/>
      <c r="BR4" s="853"/>
      <c r="BS4" s="853"/>
      <c r="BT4" s="853"/>
      <c r="BU4" s="853"/>
      <c r="BV4" s="853"/>
      <c r="BW4" s="853"/>
      <c r="BX4" s="853"/>
      <c r="BY4" s="853"/>
      <c r="BZ4" s="853"/>
      <c r="CA4" s="853"/>
      <c r="CB4" s="853"/>
      <c r="CC4" s="853"/>
      <c r="CD4" s="853"/>
      <c r="CE4" s="853"/>
      <c r="CF4" s="853"/>
      <c r="CG4" s="853"/>
      <c r="CH4" s="853"/>
      <c r="CI4" s="853"/>
      <c r="CJ4" s="853"/>
      <c r="CK4" s="853"/>
      <c r="CL4" s="853"/>
      <c r="CM4" s="853"/>
      <c r="CN4" s="853"/>
      <c r="CO4" s="853"/>
      <c r="CP4" s="853"/>
      <c r="CQ4" s="853"/>
      <c r="CR4" s="853"/>
      <c r="CS4" s="853"/>
      <c r="CT4" s="853"/>
      <c r="CU4" s="853"/>
      <c r="CV4" s="853"/>
      <c r="CW4" s="853"/>
      <c r="CX4" s="853"/>
      <c r="CY4" s="853"/>
      <c r="CZ4" s="853"/>
      <c r="DA4" s="853"/>
      <c r="DB4" s="853"/>
      <c r="DC4" s="853"/>
      <c r="DD4" s="853"/>
      <c r="DE4" s="853"/>
      <c r="DF4" s="853"/>
      <c r="DG4" s="853"/>
      <c r="DH4" s="853"/>
      <c r="DI4" s="853"/>
      <c r="DJ4" s="853"/>
      <c r="DK4" s="853"/>
      <c r="DL4" s="853"/>
      <c r="DM4" s="853"/>
      <c r="DN4" s="853"/>
      <c r="DO4" s="853"/>
      <c r="DP4" s="853"/>
      <c r="DQ4" s="853"/>
      <c r="DR4" s="853"/>
      <c r="DS4" s="853"/>
      <c r="DT4" s="853"/>
      <c r="DU4" s="853"/>
      <c r="DV4" s="853"/>
      <c r="DW4" s="853"/>
      <c r="DX4" s="853"/>
      <c r="DY4" s="853"/>
      <c r="DZ4" s="853"/>
      <c r="EA4" s="853"/>
      <c r="EB4" s="853"/>
      <c r="EC4" s="853"/>
      <c r="ED4" s="853"/>
      <c r="EE4" s="853"/>
      <c r="EF4" s="853"/>
      <c r="EG4" s="853"/>
      <c r="EH4" s="853"/>
      <c r="EI4" s="853"/>
      <c r="EJ4" s="853"/>
      <c r="EK4" s="853"/>
      <c r="EL4" s="853"/>
      <c r="EM4" s="853"/>
      <c r="EN4" s="853"/>
      <c r="EO4" s="853"/>
      <c r="EP4" s="853"/>
      <c r="EQ4" s="853"/>
      <c r="ER4" s="853"/>
      <c r="ES4" s="853"/>
      <c r="ET4" s="853"/>
      <c r="EU4" s="853"/>
      <c r="EV4" s="853"/>
      <c r="EW4" s="853"/>
      <c r="EX4" s="853"/>
      <c r="EY4" s="853"/>
      <c r="EZ4" s="853"/>
      <c r="FA4" s="853"/>
      <c r="FB4" s="853"/>
      <c r="FC4" s="853"/>
      <c r="FD4" s="853"/>
      <c r="FE4" s="853"/>
      <c r="FF4" s="853"/>
      <c r="FG4" s="853"/>
      <c r="FH4" s="853"/>
      <c r="FI4" s="853"/>
      <c r="FJ4" s="853"/>
      <c r="FK4" s="853"/>
      <c r="FL4" s="853"/>
      <c r="FM4" s="853"/>
      <c r="FN4" s="853"/>
      <c r="FO4" s="853"/>
      <c r="FP4" s="853"/>
      <c r="FQ4" s="853"/>
      <c r="FR4" s="853"/>
      <c r="FS4" s="853"/>
      <c r="FT4" s="853"/>
      <c r="FU4" s="853"/>
      <c r="FV4" s="853"/>
      <c r="FW4" s="853"/>
      <c r="GC4" s="849">
        <v>10</v>
      </c>
    </row>
    <row r="5" spans="2:185" s="2989" customFormat="1" ht="27.25" customHeight="1">
      <c r="B5" s="1786"/>
      <c r="E5" s="1788"/>
      <c r="F5" s="3332"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3124"/>
      <c r="H5" s="3124"/>
      <c r="I5" s="3124"/>
      <c r="J5" s="3124"/>
      <c r="K5" s="3124"/>
      <c r="L5" s="3124"/>
      <c r="M5" s="3124"/>
      <c r="N5" s="3124"/>
      <c r="O5" s="3124"/>
      <c r="P5" s="3124"/>
      <c r="Q5" s="3124"/>
      <c r="R5" s="3124"/>
      <c r="S5" s="3124"/>
      <c r="T5" s="3124"/>
      <c r="U5" s="3124"/>
      <c r="V5" s="3124"/>
      <c r="W5" s="3124"/>
      <c r="X5" s="3124"/>
      <c r="Y5" s="3124"/>
      <c r="Z5" s="3124"/>
      <c r="AA5" s="3124"/>
      <c r="AB5" s="3124"/>
      <c r="AC5" s="3124"/>
      <c r="AD5" s="3124"/>
      <c r="AE5" s="3124"/>
      <c r="AF5" s="3124"/>
      <c r="AG5" s="3124"/>
      <c r="AH5" s="3124"/>
      <c r="AI5" s="3124"/>
      <c r="AJ5" s="3124"/>
      <c r="AK5" s="3124"/>
      <c r="AL5" s="3124"/>
      <c r="AM5" s="3124"/>
      <c r="AN5" s="3124"/>
      <c r="AO5" s="3124"/>
      <c r="AP5" s="3124"/>
      <c r="AQ5" s="3124"/>
      <c r="AR5" s="3124"/>
      <c r="AS5" s="3124"/>
      <c r="AT5" s="3124"/>
      <c r="AU5" s="3124"/>
      <c r="AV5" s="3124"/>
      <c r="AW5" s="3124"/>
      <c r="AX5" s="3124"/>
      <c r="AY5" s="3124"/>
      <c r="AZ5" s="3124"/>
      <c r="BA5" s="3124"/>
      <c r="BB5" s="3124"/>
      <c r="BC5" s="3124"/>
      <c r="BD5" s="3124"/>
      <c r="BE5" s="3124"/>
      <c r="BF5" s="3124"/>
      <c r="BG5" s="3124"/>
      <c r="BH5" s="3124"/>
      <c r="BI5" s="3124"/>
      <c r="BJ5" s="3124"/>
      <c r="BK5" s="3124"/>
      <c r="BL5" s="3124"/>
      <c r="BM5" s="3124"/>
      <c r="BN5" s="3124"/>
      <c r="BO5" s="3124"/>
      <c r="BP5" s="3124"/>
      <c r="BQ5" s="3124"/>
      <c r="BR5" s="3124"/>
      <c r="BS5" s="3124"/>
      <c r="GC5" s="1787">
        <v>26</v>
      </c>
    </row>
    <row r="6" spans="2:185" s="2032" customFormat="1" ht="18.75" customHeight="1">
      <c r="B6" s="866"/>
      <c r="E6" s="868"/>
      <c r="F6" s="3164" t="str">
        <f>IF(org=0,"Не определено",org)</f>
        <v>ООО "РСО"</v>
      </c>
      <c r="G6" s="3165"/>
      <c r="H6" s="3165"/>
      <c r="I6" s="3165"/>
      <c r="J6" s="3165"/>
      <c r="K6" s="3165"/>
      <c r="L6" s="3165"/>
      <c r="M6" s="3165"/>
      <c r="N6" s="3165"/>
      <c r="O6" s="3165"/>
      <c r="P6" s="3165"/>
      <c r="Q6" s="3165"/>
      <c r="R6" s="3165"/>
      <c r="S6" s="3165"/>
      <c r="T6" s="3165"/>
      <c r="U6" s="3165"/>
      <c r="V6" s="3165"/>
      <c r="W6" s="3165"/>
      <c r="X6" s="3165"/>
      <c r="Y6" s="3165"/>
      <c r="Z6" s="3165"/>
      <c r="AA6" s="3165"/>
      <c r="AB6" s="3165"/>
      <c r="AC6" s="3165"/>
      <c r="AD6" s="3165"/>
      <c r="AE6" s="3165"/>
      <c r="AF6" s="3165"/>
      <c r="AG6" s="3165"/>
      <c r="AH6" s="3165"/>
      <c r="AI6" s="3165"/>
      <c r="AJ6" s="3165"/>
      <c r="AK6" s="3165"/>
      <c r="AL6" s="3165"/>
      <c r="AM6" s="3165"/>
      <c r="AN6" s="3165"/>
      <c r="AO6" s="3165"/>
      <c r="AP6" s="3165"/>
      <c r="AQ6" s="3165"/>
      <c r="AR6" s="3165"/>
      <c r="AS6" s="3165"/>
      <c r="AT6" s="3165"/>
      <c r="AU6" s="3165"/>
      <c r="AV6" s="3165"/>
      <c r="AW6" s="3165"/>
      <c r="AX6" s="3165"/>
      <c r="AY6" s="3165"/>
      <c r="AZ6" s="3165"/>
      <c r="BA6" s="3165"/>
      <c r="BB6" s="3165"/>
      <c r="BC6" s="3165"/>
      <c r="BD6" s="3165"/>
      <c r="BE6" s="3165"/>
      <c r="BF6" s="3165"/>
      <c r="BG6" s="3165"/>
      <c r="BH6" s="3165"/>
      <c r="BI6" s="3165"/>
      <c r="BJ6" s="3165"/>
      <c r="BK6" s="3165"/>
      <c r="BL6" s="3165"/>
      <c r="BM6" s="3165"/>
      <c r="BN6" s="3165"/>
      <c r="BO6" s="3165"/>
      <c r="BP6" s="3165"/>
      <c r="BQ6" s="3165"/>
      <c r="BR6" s="3165"/>
      <c r="BS6" s="3165"/>
      <c r="GC6" s="867">
        <v>18</v>
      </c>
    </row>
    <row r="7" spans="2:185" s="2990" customFormat="1" ht="10.5" customHeight="1">
      <c r="B7" s="855"/>
      <c r="E7" s="856"/>
      <c r="F7" s="856"/>
      <c r="G7" s="858"/>
      <c r="H7" s="852"/>
      <c r="I7" s="852"/>
      <c r="J7" s="852"/>
      <c r="K7" s="852"/>
      <c r="L7" s="852"/>
      <c r="M7" s="856"/>
      <c r="N7" s="856"/>
      <c r="O7" s="856"/>
      <c r="P7" s="856"/>
      <c r="Q7" s="856"/>
      <c r="R7" s="856"/>
      <c r="S7" s="856"/>
      <c r="T7" s="856"/>
      <c r="U7" s="856"/>
      <c r="V7" s="856"/>
      <c r="W7" s="856"/>
      <c r="X7" s="856"/>
      <c r="Y7" s="856"/>
      <c r="Z7" s="856"/>
      <c r="AA7" s="856"/>
      <c r="AB7" s="856"/>
      <c r="AC7" s="856"/>
      <c r="AD7" s="856"/>
      <c r="AE7" s="856"/>
      <c r="AF7" s="856"/>
      <c r="AG7" s="856"/>
      <c r="AH7" s="856"/>
      <c r="AI7" s="856"/>
      <c r="AJ7" s="856"/>
      <c r="AK7" s="856"/>
      <c r="AL7" s="856"/>
      <c r="AM7" s="856"/>
      <c r="AN7" s="856"/>
      <c r="AO7" s="856"/>
      <c r="AP7" s="856"/>
      <c r="AQ7" s="856"/>
      <c r="AR7" s="856"/>
      <c r="AS7" s="856"/>
      <c r="AT7" s="856"/>
      <c r="AU7" s="856"/>
      <c r="AV7" s="856"/>
      <c r="AW7" s="856"/>
      <c r="AX7" s="856"/>
      <c r="AY7" s="856"/>
      <c r="AZ7" s="856"/>
      <c r="BA7" s="856"/>
      <c r="BB7" s="856"/>
      <c r="BC7" s="856"/>
      <c r="BD7" s="856"/>
      <c r="BE7" s="856"/>
      <c r="BF7" s="856"/>
      <c r="BG7" s="856"/>
      <c r="BH7" s="856"/>
      <c r="BI7" s="856"/>
      <c r="BJ7" s="856"/>
      <c r="BK7" s="856"/>
      <c r="BL7" s="856"/>
      <c r="BM7" s="856"/>
      <c r="BN7" s="856"/>
      <c r="BO7" s="856"/>
      <c r="BP7" s="856"/>
      <c r="BQ7" s="856"/>
      <c r="BR7" s="856"/>
      <c r="BS7" s="856"/>
      <c r="BT7" s="856"/>
      <c r="BU7" s="856"/>
      <c r="BV7" s="856"/>
      <c r="BW7" s="856"/>
      <c r="BX7" s="856"/>
      <c r="BY7" s="856"/>
      <c r="BZ7" s="856"/>
      <c r="CA7" s="856"/>
      <c r="CB7" s="856"/>
      <c r="CC7" s="856"/>
      <c r="CD7" s="856"/>
      <c r="CE7" s="856"/>
      <c r="CF7" s="856"/>
      <c r="CG7" s="856"/>
      <c r="CH7" s="856"/>
      <c r="CI7" s="856"/>
      <c r="CJ7" s="856"/>
      <c r="CK7" s="856"/>
      <c r="CL7" s="856"/>
      <c r="CM7" s="856"/>
      <c r="CN7" s="856"/>
      <c r="CO7" s="856"/>
      <c r="CP7" s="856"/>
      <c r="CQ7" s="856"/>
      <c r="CR7" s="856"/>
      <c r="CS7" s="856"/>
      <c r="CT7" s="856"/>
      <c r="CU7" s="856"/>
      <c r="CV7" s="856"/>
      <c r="CW7" s="856"/>
      <c r="CX7" s="856"/>
      <c r="CY7" s="856"/>
      <c r="CZ7" s="856"/>
      <c r="DA7" s="856"/>
      <c r="DB7" s="856"/>
      <c r="DC7" s="856"/>
      <c r="DD7" s="856"/>
      <c r="DE7" s="856"/>
      <c r="DF7" s="856"/>
      <c r="DG7" s="856"/>
      <c r="DH7" s="856"/>
      <c r="DI7" s="856"/>
      <c r="DJ7" s="856"/>
      <c r="DK7" s="856"/>
      <c r="DL7" s="856"/>
      <c r="DM7" s="856"/>
      <c r="DN7" s="856"/>
      <c r="DO7" s="856"/>
      <c r="DP7" s="856"/>
      <c r="DQ7" s="856"/>
      <c r="DR7" s="856"/>
      <c r="DS7" s="856"/>
      <c r="DT7" s="856"/>
      <c r="DU7" s="856"/>
      <c r="DV7" s="856"/>
      <c r="DW7" s="856"/>
      <c r="DX7" s="856"/>
      <c r="DY7" s="856"/>
      <c r="DZ7" s="856"/>
      <c r="EA7" s="856"/>
      <c r="EB7" s="856"/>
      <c r="EC7" s="856"/>
      <c r="ED7" s="856"/>
      <c r="EE7" s="856"/>
      <c r="EF7" s="856"/>
      <c r="EG7" s="856"/>
      <c r="EH7" s="856"/>
      <c r="EI7" s="856"/>
      <c r="EJ7" s="856"/>
      <c r="EK7" s="856"/>
      <c r="EL7" s="856"/>
      <c r="EM7" s="856"/>
      <c r="EN7" s="856"/>
      <c r="EO7" s="856"/>
      <c r="EP7" s="856"/>
      <c r="EQ7" s="856"/>
      <c r="ER7" s="856"/>
      <c r="ES7" s="856"/>
      <c r="ET7" s="856"/>
      <c r="EU7" s="856"/>
      <c r="EV7" s="856"/>
      <c r="EW7" s="856"/>
      <c r="EX7" s="856"/>
      <c r="EY7" s="856"/>
      <c r="EZ7" s="856"/>
      <c r="FA7" s="856"/>
      <c r="FB7" s="856"/>
      <c r="FC7" s="856"/>
      <c r="FD7" s="856"/>
      <c r="FE7" s="856"/>
      <c r="FF7" s="856"/>
      <c r="FG7" s="856"/>
      <c r="FH7" s="856"/>
      <c r="FI7" s="856"/>
      <c r="FJ7" s="856"/>
      <c r="FK7" s="856"/>
      <c r="FL7" s="856"/>
      <c r="FM7" s="856"/>
      <c r="FN7" s="856"/>
      <c r="FO7" s="856"/>
      <c r="FP7" s="856"/>
      <c r="FQ7" s="856"/>
      <c r="FR7" s="856"/>
      <c r="FS7" s="856"/>
      <c r="FT7" s="856"/>
      <c r="FU7" s="856"/>
      <c r="FV7" s="856"/>
      <c r="FW7" s="856"/>
      <c r="GC7" s="854">
        <v>10</v>
      </c>
    </row>
    <row r="8" spans="2:185" s="2990" customFormat="1" ht="11.25" hidden="1" customHeight="1">
      <c r="B8" s="857"/>
      <c r="F8" s="977"/>
      <c r="G8" s="695"/>
      <c r="H8" s="294"/>
      <c r="I8" s="294"/>
      <c r="J8" s="294"/>
      <c r="K8" s="294"/>
      <c r="L8" s="294"/>
      <c r="M8" s="977"/>
      <c r="N8" s="977"/>
      <c r="O8" s="3348" t="s">
        <v>1104</v>
      </c>
      <c r="P8" s="3349"/>
      <c r="Q8" s="3349"/>
      <c r="R8" s="3349"/>
      <c r="S8" s="3349"/>
      <c r="T8" s="3349"/>
      <c r="U8" s="3349"/>
      <c r="V8" s="3349"/>
      <c r="W8" s="3349"/>
      <c r="X8" s="3349"/>
      <c r="Y8" s="3349"/>
      <c r="Z8" s="3349"/>
      <c r="AA8" s="3349"/>
      <c r="AB8" s="3349"/>
      <c r="AC8" s="3349"/>
      <c r="AD8" s="3349"/>
      <c r="AE8" s="3349"/>
      <c r="AF8" s="3349"/>
      <c r="AG8" s="3349"/>
      <c r="AH8" s="3349"/>
      <c r="AI8" s="3349"/>
      <c r="AJ8" s="3349"/>
      <c r="AK8" s="3349"/>
      <c r="AL8" s="3349"/>
      <c r="AM8" s="3349"/>
      <c r="AN8" s="3349"/>
      <c r="AO8" s="3349"/>
      <c r="AP8" s="3349"/>
      <c r="AQ8" s="3349"/>
      <c r="AR8" s="3349"/>
      <c r="AS8" s="3349"/>
      <c r="AT8" s="3349"/>
      <c r="AU8" s="3349"/>
      <c r="AV8" s="3349"/>
      <c r="AW8" s="3349"/>
      <c r="AX8" s="3349"/>
      <c r="AY8" s="3349"/>
      <c r="AZ8" s="3349"/>
      <c r="BA8" s="3349"/>
      <c r="BB8" s="3349"/>
      <c r="BC8" s="3349"/>
      <c r="BD8" s="3349"/>
      <c r="BE8" s="3349"/>
      <c r="BF8" s="3349"/>
      <c r="BG8" s="3349"/>
      <c r="BH8" s="3349"/>
      <c r="BI8" s="3349"/>
      <c r="BJ8" s="3349"/>
      <c r="BK8" s="3349"/>
      <c r="BL8" s="3349"/>
      <c r="BM8" s="3349"/>
      <c r="BN8" s="3349"/>
      <c r="BO8" s="3349"/>
      <c r="BP8" s="3349"/>
      <c r="BQ8" s="3349"/>
      <c r="BR8" s="3349"/>
      <c r="BS8" s="3350"/>
      <c r="BT8" s="3337"/>
      <c r="BU8" s="3338"/>
      <c r="BV8" s="3338"/>
      <c r="BW8" s="3338"/>
      <c r="BX8" s="3338"/>
      <c r="BY8" s="3338"/>
      <c r="BZ8" s="3338"/>
      <c r="CA8" s="3338"/>
      <c r="CB8" s="3338"/>
      <c r="CC8" s="3338"/>
      <c r="CD8" s="3338"/>
      <c r="CE8" s="3338"/>
      <c r="CF8" s="3338"/>
      <c r="CG8" s="3338"/>
      <c r="CH8" s="3338"/>
      <c r="CI8" s="3338"/>
      <c r="CJ8" s="3338"/>
      <c r="CK8" s="3338"/>
      <c r="CL8" s="3338"/>
      <c r="CM8" s="3338"/>
      <c r="CN8" s="3338"/>
      <c r="CO8" s="3338"/>
      <c r="CP8" s="3338"/>
      <c r="CQ8" s="3338"/>
      <c r="CR8" s="3338"/>
      <c r="CS8" s="3338"/>
      <c r="CT8" s="3338"/>
      <c r="CU8" s="3338"/>
      <c r="CV8" s="3338"/>
      <c r="CW8" s="3338"/>
      <c r="CX8" s="3339"/>
      <c r="CY8" s="3340"/>
      <c r="CZ8" s="3341"/>
      <c r="DA8" s="3341"/>
      <c r="DB8" s="3341"/>
      <c r="DC8" s="3341"/>
      <c r="DD8" s="3341"/>
      <c r="DE8" s="3341"/>
      <c r="DF8" s="3341"/>
      <c r="DG8" s="3341"/>
      <c r="DH8" s="3341"/>
      <c r="DI8" s="3341"/>
      <c r="DJ8" s="3341"/>
      <c r="DK8" s="3341"/>
      <c r="DL8" s="3341"/>
      <c r="DM8" s="3341"/>
      <c r="DN8" s="3341"/>
      <c r="DO8" s="3341"/>
      <c r="DP8" s="3341"/>
      <c r="DQ8" s="3341"/>
      <c r="DR8" s="3341"/>
      <c r="DS8" s="3341"/>
      <c r="DT8" s="3341"/>
      <c r="DU8" s="3341"/>
      <c r="DV8" s="3341"/>
      <c r="DW8" s="3341"/>
      <c r="DX8" s="3342"/>
      <c r="DY8" s="3343" t="s">
        <v>1105</v>
      </c>
      <c r="DZ8" s="3344"/>
      <c r="EA8" s="3344"/>
      <c r="EB8" s="3344"/>
      <c r="EC8" s="3344"/>
      <c r="ED8" s="3344"/>
      <c r="EE8" s="3344"/>
      <c r="EF8" s="3344"/>
      <c r="EG8" s="3344"/>
      <c r="EH8" s="3344"/>
      <c r="EI8" s="3344"/>
      <c r="EJ8" s="3344"/>
      <c r="EK8" s="3344"/>
      <c r="EL8" s="3344"/>
      <c r="EM8" s="3344"/>
      <c r="EN8" s="3344"/>
      <c r="EO8" s="3344"/>
      <c r="EP8" s="3344"/>
      <c r="EQ8" s="3344"/>
      <c r="ER8" s="3344"/>
      <c r="ES8" s="3344"/>
      <c r="ET8" s="3344"/>
      <c r="EU8" s="3344"/>
      <c r="EV8" s="3344"/>
      <c r="EW8" s="3344"/>
      <c r="EX8" s="3344"/>
      <c r="EY8" s="3344"/>
      <c r="EZ8" s="3344"/>
      <c r="FA8" s="3344"/>
      <c r="FB8" s="3344"/>
      <c r="FC8" s="3344"/>
      <c r="FD8" s="3344"/>
      <c r="FE8" s="3344"/>
      <c r="FF8" s="3344"/>
      <c r="FG8" s="3344"/>
      <c r="FH8" s="3344"/>
      <c r="FI8" s="3344"/>
      <c r="FJ8" s="3344"/>
      <c r="FK8" s="3344"/>
      <c r="FL8" s="3344"/>
      <c r="FM8" s="3344"/>
      <c r="FN8" s="3344"/>
      <c r="FO8" s="3344"/>
      <c r="FP8" s="3344"/>
      <c r="FQ8" s="3344"/>
      <c r="FR8" s="3344"/>
      <c r="FS8" s="3344"/>
      <c r="FT8" s="3344"/>
      <c r="FU8" s="3344"/>
      <c r="FV8" s="3344"/>
      <c r="FW8" s="3345"/>
      <c r="FX8" s="977"/>
      <c r="GC8" s="856">
        <v>0</v>
      </c>
    </row>
    <row r="9" spans="2:185" s="2990" customFormat="1" ht="11.25" hidden="1" customHeight="1">
      <c r="B9" s="857"/>
      <c r="F9" s="977"/>
      <c r="G9" s="695"/>
      <c r="H9" s="294"/>
      <c r="I9" s="294"/>
      <c r="J9" s="294"/>
      <c r="K9" s="294"/>
      <c r="L9" s="294"/>
      <c r="M9" s="977"/>
      <c r="N9" s="977"/>
      <c r="O9" s="977"/>
      <c r="P9" s="977"/>
      <c r="Q9" s="977"/>
      <c r="R9" s="977"/>
      <c r="S9" s="977"/>
      <c r="T9" s="977"/>
      <c r="U9" s="977"/>
      <c r="V9" s="977"/>
      <c r="W9" s="977"/>
      <c r="X9" s="977"/>
      <c r="Y9" s="977"/>
      <c r="Z9" s="977"/>
      <c r="AA9" s="977"/>
      <c r="AB9" s="977"/>
      <c r="AC9" s="977"/>
      <c r="AD9" s="977"/>
      <c r="AE9" s="977"/>
      <c r="AF9" s="977"/>
      <c r="AG9" s="977"/>
      <c r="AH9" s="977"/>
      <c r="AI9" s="977"/>
      <c r="AJ9" s="977"/>
      <c r="AK9" s="977"/>
      <c r="AL9" s="977"/>
      <c r="AM9" s="977"/>
      <c r="AN9" s="977"/>
      <c r="AO9" s="977"/>
      <c r="AP9" s="977"/>
      <c r="AQ9" s="977"/>
      <c r="AR9" s="977"/>
      <c r="AS9" s="977"/>
      <c r="AT9" s="977"/>
      <c r="AU9" s="977"/>
      <c r="AV9" s="977"/>
      <c r="AW9" s="977"/>
      <c r="AX9" s="977"/>
      <c r="AY9" s="977"/>
      <c r="AZ9" s="977"/>
      <c r="BA9" s="977"/>
      <c r="BB9" s="977"/>
      <c r="BC9" s="977"/>
      <c r="BD9" s="977"/>
      <c r="BE9" s="977"/>
      <c r="BF9" s="977"/>
      <c r="BG9" s="977"/>
      <c r="BH9" s="977"/>
      <c r="BI9" s="977"/>
      <c r="BJ9" s="977"/>
      <c r="BK9" s="977"/>
      <c r="BL9" s="977"/>
      <c r="BM9" s="977"/>
      <c r="BN9" s="977"/>
      <c r="BO9" s="977"/>
      <c r="BP9" s="977"/>
      <c r="BQ9" s="977"/>
      <c r="BR9" s="977"/>
      <c r="BS9" s="977"/>
      <c r="BT9" s="977"/>
      <c r="BU9" s="977"/>
      <c r="BV9" s="977"/>
      <c r="BW9" s="977"/>
      <c r="BX9" s="977"/>
      <c r="BY9" s="977"/>
      <c r="BZ9" s="977"/>
      <c r="CA9" s="977"/>
      <c r="CB9" s="977"/>
      <c r="CC9" s="977"/>
      <c r="CD9" s="977"/>
      <c r="CE9" s="977"/>
      <c r="CF9" s="977"/>
      <c r="CG9" s="977"/>
      <c r="CH9" s="977"/>
      <c r="CI9" s="977"/>
      <c r="CJ9" s="977"/>
      <c r="CK9" s="977"/>
      <c r="CL9" s="977"/>
      <c r="CM9" s="977"/>
      <c r="CN9" s="977"/>
      <c r="CO9" s="977"/>
      <c r="CP9" s="977"/>
      <c r="CQ9" s="977"/>
      <c r="CR9" s="977"/>
      <c r="CS9" s="977"/>
      <c r="CT9" s="977"/>
      <c r="CU9" s="977"/>
      <c r="CV9" s="977"/>
      <c r="CW9" s="977"/>
      <c r="CX9" s="977"/>
      <c r="CY9" s="977"/>
      <c r="CZ9" s="977"/>
      <c r="DA9" s="977"/>
      <c r="DB9" s="977"/>
      <c r="DC9" s="977"/>
      <c r="DD9" s="977"/>
      <c r="DE9" s="977"/>
      <c r="DF9" s="977"/>
      <c r="DG9" s="977"/>
      <c r="DH9" s="977"/>
      <c r="DI9" s="977"/>
      <c r="DJ9" s="977"/>
      <c r="DK9" s="977"/>
      <c r="DL9" s="977"/>
      <c r="DM9" s="977"/>
      <c r="DN9" s="977"/>
      <c r="DO9" s="977"/>
      <c r="DP9" s="977"/>
      <c r="DQ9" s="977"/>
      <c r="DR9" s="977"/>
      <c r="DS9" s="977"/>
      <c r="DT9" s="977"/>
      <c r="DU9" s="977"/>
      <c r="DV9" s="977"/>
      <c r="DW9" s="977"/>
      <c r="DX9" s="977"/>
      <c r="DY9" s="977"/>
      <c r="DZ9" s="977"/>
      <c r="EA9" s="977"/>
      <c r="EB9" s="977"/>
      <c r="EC9" s="977"/>
      <c r="ED9" s="977"/>
      <c r="EE9" s="977"/>
      <c r="EF9" s="977"/>
      <c r="EG9" s="977"/>
      <c r="EH9" s="977"/>
      <c r="EI9" s="977"/>
      <c r="EJ9" s="977"/>
      <c r="EK9" s="977"/>
      <c r="EL9" s="977"/>
      <c r="EM9" s="977"/>
      <c r="EN9" s="977"/>
      <c r="EO9" s="977"/>
      <c r="EP9" s="977"/>
      <c r="EQ9" s="977"/>
      <c r="ER9" s="977"/>
      <c r="ES9" s="977"/>
      <c r="ET9" s="977"/>
      <c r="EU9" s="977"/>
      <c r="EV9" s="977"/>
      <c r="EW9" s="977"/>
      <c r="EX9" s="977"/>
      <c r="EY9" s="977"/>
      <c r="EZ9" s="977"/>
      <c r="FA9" s="977"/>
      <c r="FB9" s="977"/>
      <c r="FC9" s="977"/>
      <c r="FD9" s="977"/>
      <c r="FE9" s="977"/>
      <c r="FF9" s="977"/>
      <c r="FG9" s="977"/>
      <c r="FH9" s="977"/>
      <c r="FI9" s="977"/>
      <c r="FJ9" s="977"/>
      <c r="FK9" s="977"/>
      <c r="FL9" s="977"/>
      <c r="FM9" s="977"/>
      <c r="FN9" s="977"/>
      <c r="FO9" s="977"/>
      <c r="FP9" s="977"/>
      <c r="FQ9" s="977"/>
      <c r="FR9" s="977"/>
      <c r="FS9" s="977"/>
      <c r="FT9" s="977"/>
      <c r="FU9" s="977"/>
      <c r="FV9" s="977"/>
      <c r="FW9" s="3346"/>
      <c r="FX9" s="977"/>
      <c r="GC9" s="856">
        <v>0</v>
      </c>
    </row>
    <row r="10" spans="2:185" s="2990" customFormat="1" ht="11.5" customHeight="1">
      <c r="B10" s="857"/>
      <c r="F10" s="3314" t="s">
        <v>335</v>
      </c>
      <c r="G10" s="3330"/>
      <c r="H10" s="3330"/>
      <c r="I10" s="3330"/>
      <c r="J10" s="3330"/>
      <c r="K10" s="3330"/>
      <c r="L10" s="3330"/>
      <c r="M10" s="3330"/>
      <c r="N10" s="3330"/>
      <c r="O10" s="3330"/>
      <c r="P10" s="3330"/>
      <c r="Q10" s="3330"/>
      <c r="R10" s="3330"/>
      <c r="S10" s="3330"/>
      <c r="T10" s="3330"/>
      <c r="U10" s="3330"/>
      <c r="V10" s="3330"/>
      <c r="W10" s="3330"/>
      <c r="X10" s="3330"/>
      <c r="Y10" s="3330"/>
      <c r="Z10" s="3330"/>
      <c r="AA10" s="3330"/>
      <c r="AB10" s="3330"/>
      <c r="AC10" s="3330"/>
      <c r="AD10" s="3330"/>
      <c r="AE10" s="3330"/>
      <c r="AF10" s="3330"/>
      <c r="AG10" s="3330"/>
      <c r="AH10" s="3330"/>
      <c r="AI10" s="3330"/>
      <c r="AJ10" s="3330"/>
      <c r="AK10" s="3330"/>
      <c r="AL10" s="3330"/>
      <c r="AM10" s="3330"/>
      <c r="AN10" s="3330"/>
      <c r="AO10" s="3330"/>
      <c r="AP10" s="3330"/>
      <c r="AQ10" s="3330"/>
      <c r="AR10" s="3330"/>
      <c r="AS10" s="3330"/>
      <c r="AT10" s="3330"/>
      <c r="AU10" s="3330"/>
      <c r="AV10" s="3330"/>
      <c r="AW10" s="3330"/>
      <c r="AX10" s="3330"/>
      <c r="AY10" s="3330"/>
      <c r="AZ10" s="3330"/>
      <c r="BA10" s="3330"/>
      <c r="BB10" s="3330"/>
      <c r="BC10" s="3330"/>
      <c r="BD10" s="3330"/>
      <c r="BE10" s="3330"/>
      <c r="BF10" s="3330"/>
      <c r="BG10" s="3330"/>
      <c r="BH10" s="3330"/>
      <c r="BI10" s="3330"/>
      <c r="BJ10" s="3330"/>
      <c r="BK10" s="3330"/>
      <c r="BL10" s="3330"/>
      <c r="BM10" s="3330"/>
      <c r="BN10" s="3330"/>
      <c r="BO10" s="3330"/>
      <c r="BP10" s="3330"/>
      <c r="BQ10" s="3330"/>
      <c r="BR10" s="3330"/>
      <c r="BS10" s="3330"/>
      <c r="BT10" s="3330"/>
      <c r="BU10" s="3330"/>
      <c r="BV10" s="3330"/>
      <c r="BW10" s="3330"/>
      <c r="BX10" s="3330"/>
      <c r="BY10" s="3330"/>
      <c r="BZ10" s="3330"/>
      <c r="CA10" s="3330"/>
      <c r="CB10" s="3330"/>
      <c r="CC10" s="3330"/>
      <c r="CD10" s="3330"/>
      <c r="CE10" s="3330"/>
      <c r="CF10" s="3330"/>
      <c r="CG10" s="3330"/>
      <c r="CH10" s="3330"/>
      <c r="CI10" s="3330"/>
      <c r="CJ10" s="3330"/>
      <c r="CK10" s="3330"/>
      <c r="CL10" s="3330"/>
      <c r="CM10" s="3330"/>
      <c r="CN10" s="3330"/>
      <c r="CO10" s="3330"/>
      <c r="CP10" s="3330"/>
      <c r="CQ10" s="3330"/>
      <c r="CR10" s="3330"/>
      <c r="CS10" s="3330"/>
      <c r="CT10" s="3330"/>
      <c r="CU10" s="3330"/>
      <c r="CV10" s="3330"/>
      <c r="CW10" s="3330"/>
      <c r="CX10" s="3330"/>
      <c r="CY10" s="3330"/>
      <c r="CZ10" s="3330"/>
      <c r="DA10" s="3330"/>
      <c r="DB10" s="3330"/>
      <c r="DC10" s="3330"/>
      <c r="DD10" s="3330"/>
      <c r="DE10" s="3330"/>
      <c r="DF10" s="3330"/>
      <c r="DG10" s="3330"/>
      <c r="DH10" s="3330"/>
      <c r="DI10" s="3330"/>
      <c r="DJ10" s="3330"/>
      <c r="DK10" s="3330"/>
      <c r="DL10" s="3330"/>
      <c r="DM10" s="3330"/>
      <c r="DN10" s="3330"/>
      <c r="DO10" s="3330"/>
      <c r="DP10" s="3330"/>
      <c r="DQ10" s="3330"/>
      <c r="DR10" s="3330"/>
      <c r="DS10" s="3330"/>
      <c r="DT10" s="3330"/>
      <c r="DU10" s="3330"/>
      <c r="DV10" s="3330"/>
      <c r="DW10" s="3330"/>
      <c r="DX10" s="3330"/>
      <c r="DY10" s="3330"/>
      <c r="DZ10" s="3330"/>
      <c r="EA10" s="3330"/>
      <c r="EB10" s="3330"/>
      <c r="EC10" s="3330"/>
      <c r="ED10" s="3330"/>
      <c r="EE10" s="3330"/>
      <c r="EF10" s="3330"/>
      <c r="EG10" s="3330"/>
      <c r="EH10" s="3330"/>
      <c r="EI10" s="3330"/>
      <c r="EJ10" s="3330"/>
      <c r="EK10" s="3330"/>
      <c r="EL10" s="3330"/>
      <c r="EM10" s="3330"/>
      <c r="EN10" s="3330"/>
      <c r="EO10" s="3330"/>
      <c r="EP10" s="3330"/>
      <c r="EQ10" s="3330"/>
      <c r="ER10" s="3330"/>
      <c r="ES10" s="3330"/>
      <c r="ET10" s="3330"/>
      <c r="EU10" s="3330"/>
      <c r="EV10" s="3330"/>
      <c r="EW10" s="3330"/>
      <c r="EX10" s="3330"/>
      <c r="EY10" s="3330"/>
      <c r="EZ10" s="3330"/>
      <c r="FA10" s="3330"/>
      <c r="FB10" s="3330"/>
      <c r="FC10" s="3330"/>
      <c r="FD10" s="3330"/>
      <c r="FE10" s="3330"/>
      <c r="FF10" s="3330"/>
      <c r="FG10" s="3330"/>
      <c r="FH10" s="3330"/>
      <c r="FI10" s="3330"/>
      <c r="FJ10" s="3330"/>
      <c r="FK10" s="3330"/>
      <c r="FL10" s="3330"/>
      <c r="FM10" s="3330"/>
      <c r="FN10" s="3330"/>
      <c r="FO10" s="3330"/>
      <c r="FP10" s="3330"/>
      <c r="FQ10" s="3330"/>
      <c r="FR10" s="3330"/>
      <c r="FS10" s="3330"/>
      <c r="FT10" s="3330"/>
      <c r="FU10" s="3330"/>
      <c r="FV10" s="3331"/>
      <c r="FW10" s="3346"/>
      <c r="FX10" s="977"/>
      <c r="GC10" s="856">
        <v>11</v>
      </c>
    </row>
    <row r="11" spans="2:185" ht="12.75" customHeight="1">
      <c r="E11" s="860"/>
      <c r="F11" s="3155" t="s">
        <v>89</v>
      </c>
      <c r="G11" s="3155" t="s">
        <v>1106</v>
      </c>
      <c r="H11" s="3155" t="s">
        <v>1107</v>
      </c>
      <c r="I11" s="3155" t="s">
        <v>1108</v>
      </c>
      <c r="J11" s="3336"/>
      <c r="K11" s="3336"/>
      <c r="L11" s="3336"/>
      <c r="M11" s="3336"/>
      <c r="N11" s="3336"/>
      <c r="O11" s="3159" t="s">
        <v>1109</v>
      </c>
      <c r="P11" s="3159"/>
      <c r="Q11" s="3159"/>
      <c r="R11" s="3159"/>
      <c r="S11" s="3159"/>
      <c r="T11" s="3159"/>
      <c r="U11" s="3159"/>
      <c r="V11" s="3159"/>
      <c r="W11" s="3159"/>
      <c r="X11" s="3159"/>
      <c r="Y11" s="3159"/>
      <c r="Z11" s="3159"/>
      <c r="AA11" s="3159"/>
      <c r="AB11" s="3159"/>
      <c r="AC11" s="3334"/>
      <c r="AD11" s="3334"/>
      <c r="AE11" s="3334"/>
      <c r="AF11" s="3334"/>
      <c r="AG11" s="3334"/>
      <c r="AH11" s="3334"/>
      <c r="AI11" s="3334"/>
      <c r="AJ11" s="3334"/>
      <c r="AK11" s="3334"/>
      <c r="AL11" s="3334"/>
      <c r="AM11" s="3334"/>
      <c r="AN11" s="3334"/>
      <c r="AO11" s="3334"/>
      <c r="AP11" s="3334"/>
      <c r="AQ11" s="3334"/>
      <c r="AR11" s="3334"/>
      <c r="AS11" s="3334"/>
      <c r="AT11" s="3334"/>
      <c r="AU11" s="3334"/>
      <c r="AV11" s="3334"/>
      <c r="AW11" s="3334"/>
      <c r="AX11" s="3334"/>
      <c r="AY11" s="3334"/>
      <c r="AZ11" s="3334"/>
      <c r="BA11" s="3334"/>
      <c r="BB11" s="3334"/>
      <c r="BC11" s="3334"/>
      <c r="BD11" s="3334"/>
      <c r="BE11" s="3334"/>
      <c r="BF11" s="3334"/>
      <c r="BG11" s="3334"/>
      <c r="BH11" s="3334"/>
      <c r="BI11" s="3334"/>
      <c r="BJ11" s="3334"/>
      <c r="BK11" s="3334"/>
      <c r="BL11" s="3334"/>
      <c r="BM11" s="3334"/>
      <c r="BN11" s="3334"/>
      <c r="BO11" s="3334"/>
      <c r="BP11" s="3334"/>
      <c r="BQ11" s="3334"/>
      <c r="BR11" s="3334"/>
      <c r="BS11" s="3351"/>
      <c r="BT11" s="3298" t="s">
        <v>1109</v>
      </c>
      <c r="BU11" s="3299"/>
      <c r="BV11" s="3299"/>
      <c r="BW11" s="3299"/>
      <c r="BX11" s="3299"/>
      <c r="BY11" s="3299"/>
      <c r="BZ11" s="3299"/>
      <c r="CA11" s="3299"/>
      <c r="CB11" s="3299"/>
      <c r="CC11" s="3299"/>
      <c r="CD11" s="3299"/>
      <c r="CE11" s="3299"/>
      <c r="CF11" s="3299"/>
      <c r="CG11" s="3299"/>
      <c r="CH11" s="3299"/>
      <c r="CI11" s="3299"/>
      <c r="CJ11" s="3299"/>
      <c r="CK11" s="3333"/>
      <c r="CL11" s="3335"/>
      <c r="CM11" s="3334"/>
      <c r="CN11" s="3334"/>
      <c r="CO11" s="3334"/>
      <c r="CP11" s="3334"/>
      <c r="CQ11" s="3334"/>
      <c r="CR11" s="3334"/>
      <c r="CS11" s="3334"/>
      <c r="CT11" s="3334"/>
      <c r="CU11" s="3334"/>
      <c r="CV11" s="3334"/>
      <c r="CW11" s="3334"/>
      <c r="CX11" s="3351"/>
      <c r="CY11" s="3298" t="s">
        <v>1109</v>
      </c>
      <c r="CZ11" s="3299"/>
      <c r="DA11" s="3299"/>
      <c r="DB11" s="3299"/>
      <c r="DC11" s="3299"/>
      <c r="DD11" s="3299"/>
      <c r="DE11" s="3299"/>
      <c r="DF11" s="3299"/>
      <c r="DG11" s="3299"/>
      <c r="DH11" s="3299"/>
      <c r="DI11" s="3299"/>
      <c r="DJ11" s="3333"/>
      <c r="DK11" s="3335"/>
      <c r="DL11" s="3334"/>
      <c r="DM11" s="3334"/>
      <c r="DN11" s="3334"/>
      <c r="DO11" s="3334"/>
      <c r="DP11" s="3334"/>
      <c r="DQ11" s="3334"/>
      <c r="DR11" s="3334"/>
      <c r="DS11" s="3334"/>
      <c r="DT11" s="3334"/>
      <c r="DU11" s="3334"/>
      <c r="DV11" s="3334"/>
      <c r="DW11" s="3334"/>
      <c r="DX11" s="3334"/>
      <c r="DY11" s="3334"/>
      <c r="DZ11" s="3334"/>
      <c r="EA11" s="3334"/>
      <c r="EB11" s="3334"/>
      <c r="EC11" s="3334"/>
      <c r="ED11" s="3334"/>
      <c r="EE11" s="3334"/>
      <c r="EF11" s="3334"/>
      <c r="EG11" s="3334"/>
      <c r="EH11" s="3334"/>
      <c r="EI11" s="3334"/>
      <c r="EJ11" s="3334"/>
      <c r="EK11" s="3334"/>
      <c r="EL11" s="3334"/>
      <c r="EM11" s="3334"/>
      <c r="EN11" s="3334"/>
      <c r="EO11" s="3334"/>
      <c r="EP11" s="3334"/>
      <c r="EQ11" s="3334"/>
      <c r="ER11" s="3334"/>
      <c r="ES11" s="3334"/>
      <c r="ET11" s="3334"/>
      <c r="EU11" s="3334"/>
      <c r="EV11" s="3334"/>
      <c r="EW11" s="3334"/>
      <c r="EX11" s="3334"/>
      <c r="EY11" s="3334"/>
      <c r="EZ11" s="3334"/>
      <c r="FA11" s="3334"/>
      <c r="FB11" s="3334"/>
      <c r="FC11" s="3334"/>
      <c r="FD11" s="3334"/>
      <c r="FE11" s="3334"/>
      <c r="FF11" s="3334"/>
      <c r="FG11" s="3334"/>
      <c r="FH11" s="3334"/>
      <c r="FI11" s="3334"/>
      <c r="FJ11" s="3334"/>
      <c r="FK11" s="3334"/>
      <c r="FL11" s="3334"/>
      <c r="FM11" s="3334"/>
      <c r="FN11" s="3334"/>
      <c r="FO11" s="3334"/>
      <c r="FP11" s="3334"/>
      <c r="FQ11" s="3334"/>
      <c r="FR11" s="3334"/>
      <c r="FS11" s="3334"/>
      <c r="FT11" s="3334"/>
      <c r="FU11" s="3334"/>
      <c r="FV11" s="3334"/>
      <c r="FW11" s="3346"/>
      <c r="FX11" s="694"/>
      <c r="GC11" s="849">
        <v>12</v>
      </c>
    </row>
    <row r="12" spans="2:185" ht="12.75" customHeight="1">
      <c r="D12" s="861"/>
      <c r="E12" s="860"/>
      <c r="F12" s="3155"/>
      <c r="G12" s="3155"/>
      <c r="H12" s="3155"/>
      <c r="I12" s="3155"/>
      <c r="J12" s="3336"/>
      <c r="K12" s="3336"/>
      <c r="L12" s="3336"/>
      <c r="M12" s="3336"/>
      <c r="N12" s="3336"/>
      <c r="O12" s="3159" t="s">
        <v>1110</v>
      </c>
      <c r="P12" s="3159"/>
      <c r="Q12" s="3159"/>
      <c r="R12" s="3159"/>
      <c r="S12" s="3159" t="s">
        <v>1111</v>
      </c>
      <c r="T12" s="3159"/>
      <c r="U12" s="3159"/>
      <c r="V12" s="3159"/>
      <c r="W12" s="3159"/>
      <c r="X12" s="3159"/>
      <c r="Y12" s="3159"/>
      <c r="Z12" s="3159"/>
      <c r="AA12" s="3159"/>
      <c r="AB12" s="3159"/>
      <c r="AC12" s="3334"/>
      <c r="AD12" s="3334"/>
      <c r="AE12" s="3334"/>
      <c r="AF12" s="3334"/>
      <c r="AG12" s="3334"/>
      <c r="AH12" s="3334"/>
      <c r="AI12" s="3334"/>
      <c r="AJ12" s="3334"/>
      <c r="AK12" s="3334"/>
      <c r="AL12" s="3334"/>
      <c r="AM12" s="3334"/>
      <c r="AN12" s="3334"/>
      <c r="AO12" s="3334"/>
      <c r="AP12" s="3334"/>
      <c r="AQ12" s="3334"/>
      <c r="AR12" s="3334"/>
      <c r="AS12" s="3334"/>
      <c r="AT12" s="3334"/>
      <c r="AU12" s="3334"/>
      <c r="AV12" s="3334"/>
      <c r="AW12" s="3334"/>
      <c r="AX12" s="3334"/>
      <c r="AY12" s="3334"/>
      <c r="AZ12" s="3334"/>
      <c r="BA12" s="3334"/>
      <c r="BB12" s="3334"/>
      <c r="BC12" s="3334"/>
      <c r="BD12" s="3334"/>
      <c r="BE12" s="3334"/>
      <c r="BF12" s="3334"/>
      <c r="BG12" s="3334"/>
      <c r="BH12" s="3334"/>
      <c r="BI12" s="3334"/>
      <c r="BJ12" s="3334"/>
      <c r="BK12" s="3334"/>
      <c r="BL12" s="3334"/>
      <c r="BM12" s="3334"/>
      <c r="BN12" s="3334"/>
      <c r="BO12" s="3334"/>
      <c r="BP12" s="3334"/>
      <c r="BQ12" s="3334"/>
      <c r="BR12" s="3334"/>
      <c r="BS12" s="3351"/>
      <c r="BT12" s="3298" t="s">
        <v>1112</v>
      </c>
      <c r="BU12" s="3299"/>
      <c r="BV12" s="3299"/>
      <c r="BW12" s="3333"/>
      <c r="BX12" s="3298" t="s">
        <v>1113</v>
      </c>
      <c r="BY12" s="3299"/>
      <c r="BZ12" s="3299"/>
      <c r="CA12" s="3333"/>
      <c r="CB12" s="3298" t="s">
        <v>1114</v>
      </c>
      <c r="CC12" s="3333"/>
      <c r="CD12" s="3298" t="s">
        <v>1115</v>
      </c>
      <c r="CE12" s="3299"/>
      <c r="CF12" s="3299"/>
      <c r="CG12" s="3299"/>
      <c r="CH12" s="3299"/>
      <c r="CI12" s="3299"/>
      <c r="CJ12" s="3299"/>
      <c r="CK12" s="3333"/>
      <c r="CL12" s="3335"/>
      <c r="CM12" s="3334"/>
      <c r="CN12" s="3334"/>
      <c r="CO12" s="3334"/>
      <c r="CP12" s="3334"/>
      <c r="CQ12" s="3334"/>
      <c r="CR12" s="3334"/>
      <c r="CS12" s="3334"/>
      <c r="CT12" s="3334"/>
      <c r="CU12" s="3334"/>
      <c r="CV12" s="3334"/>
      <c r="CW12" s="3334"/>
      <c r="CX12" s="3351"/>
      <c r="CY12" s="3298" t="s">
        <v>1116</v>
      </c>
      <c r="CZ12" s="3299"/>
      <c r="DA12" s="3299"/>
      <c r="DB12" s="3299"/>
      <c r="DC12" s="3299"/>
      <c r="DD12" s="3333"/>
      <c r="DE12" s="3298" t="s">
        <v>1117</v>
      </c>
      <c r="DF12" s="3333"/>
      <c r="DG12" s="3298" t="s">
        <v>1115</v>
      </c>
      <c r="DH12" s="3299"/>
      <c r="DI12" s="3299"/>
      <c r="DJ12" s="3333"/>
      <c r="DK12" s="3335"/>
      <c r="DL12" s="3334"/>
      <c r="DM12" s="3334"/>
      <c r="DN12" s="3334"/>
      <c r="DO12" s="3334"/>
      <c r="DP12" s="3334"/>
      <c r="DQ12" s="3334"/>
      <c r="DR12" s="3334"/>
      <c r="DS12" s="3334"/>
      <c r="DT12" s="3334"/>
      <c r="DU12" s="3334"/>
      <c r="DV12" s="3334"/>
      <c r="DW12" s="3334"/>
      <c r="DX12" s="3334"/>
      <c r="DY12" s="3334"/>
      <c r="DZ12" s="3334"/>
      <c r="EA12" s="3334"/>
      <c r="EB12" s="3334"/>
      <c r="EC12" s="3334"/>
      <c r="ED12" s="3334"/>
      <c r="EE12" s="3334"/>
      <c r="EF12" s="3334"/>
      <c r="EG12" s="3334"/>
      <c r="EH12" s="3334"/>
      <c r="EI12" s="3334"/>
      <c r="EJ12" s="3334"/>
      <c r="EK12" s="3334"/>
      <c r="EL12" s="3334"/>
      <c r="EM12" s="3334"/>
      <c r="EN12" s="3334"/>
      <c r="EO12" s="3334"/>
      <c r="EP12" s="3334"/>
      <c r="EQ12" s="3334"/>
      <c r="ER12" s="3334"/>
      <c r="ES12" s="3334"/>
      <c r="ET12" s="3334"/>
      <c r="EU12" s="3334"/>
      <c r="EV12" s="3334"/>
      <c r="EW12" s="3334"/>
      <c r="EX12" s="3334"/>
      <c r="EY12" s="3334"/>
      <c r="EZ12" s="3334"/>
      <c r="FA12" s="3334"/>
      <c r="FB12" s="3334"/>
      <c r="FC12" s="3334"/>
      <c r="FD12" s="3334"/>
      <c r="FE12" s="3334"/>
      <c r="FF12" s="3334"/>
      <c r="FG12" s="3334"/>
      <c r="FH12" s="3334"/>
      <c r="FI12" s="3334"/>
      <c r="FJ12" s="3334"/>
      <c r="FK12" s="3334"/>
      <c r="FL12" s="3334"/>
      <c r="FM12" s="3334"/>
      <c r="FN12" s="3334"/>
      <c r="FO12" s="3334"/>
      <c r="FP12" s="3334"/>
      <c r="FQ12" s="3334"/>
      <c r="FR12" s="3334"/>
      <c r="FS12" s="3334"/>
      <c r="FT12" s="3334"/>
      <c r="FU12" s="3334"/>
      <c r="FV12" s="3334"/>
      <c r="FW12" s="3346"/>
      <c r="FX12" s="694"/>
      <c r="GC12" s="849">
        <v>12</v>
      </c>
    </row>
    <row r="13" spans="2:185" ht="37.75" customHeight="1">
      <c r="D13" s="861"/>
      <c r="E13" s="860"/>
      <c r="F13" s="3155"/>
      <c r="G13" s="3155"/>
      <c r="H13" s="3155"/>
      <c r="I13" s="3155"/>
      <c r="J13" s="3336"/>
      <c r="K13" s="3336"/>
      <c r="L13" s="3336"/>
      <c r="M13" s="3336"/>
      <c r="N13" s="3336"/>
      <c r="O13" s="3159" t="s">
        <v>1118</v>
      </c>
      <c r="P13" s="3159"/>
      <c r="Q13" s="3159"/>
      <c r="R13" s="3159"/>
      <c r="S13" s="3252" t="s">
        <v>1119</v>
      </c>
      <c r="T13" s="3300"/>
      <c r="U13" s="3067" t="s">
        <v>1120</v>
      </c>
      <c r="V13" s="3067"/>
      <c r="W13" s="3067"/>
      <c r="X13" s="3067"/>
      <c r="Y13" s="3067" t="s">
        <v>1121</v>
      </c>
      <c r="Z13" s="3067"/>
      <c r="AA13" s="3067"/>
      <c r="AB13" s="3067"/>
      <c r="AC13" s="3334"/>
      <c r="AD13" s="3334"/>
      <c r="AE13" s="3334"/>
      <c r="AF13" s="3334"/>
      <c r="AG13" s="3334"/>
      <c r="AH13" s="3334"/>
      <c r="AI13" s="3334"/>
      <c r="AJ13" s="3334"/>
      <c r="AK13" s="3334"/>
      <c r="AL13" s="3334"/>
      <c r="AM13" s="3334"/>
      <c r="AN13" s="3334"/>
      <c r="AO13" s="3334"/>
      <c r="AP13" s="3334"/>
      <c r="AQ13" s="3334"/>
      <c r="AR13" s="3334"/>
      <c r="AS13" s="3334"/>
      <c r="AT13" s="3334"/>
      <c r="AU13" s="3334"/>
      <c r="AV13" s="3334"/>
      <c r="AW13" s="3334"/>
      <c r="AX13" s="3334"/>
      <c r="AY13" s="3334"/>
      <c r="AZ13" s="3334"/>
      <c r="BA13" s="3334"/>
      <c r="BB13" s="3334"/>
      <c r="BC13" s="3334"/>
      <c r="BD13" s="3334"/>
      <c r="BE13" s="3334"/>
      <c r="BF13" s="3334"/>
      <c r="BG13" s="3334"/>
      <c r="BH13" s="3334"/>
      <c r="BI13" s="3334"/>
      <c r="BJ13" s="3334"/>
      <c r="BK13" s="3334"/>
      <c r="BL13" s="3334"/>
      <c r="BM13" s="3334"/>
      <c r="BN13" s="3334"/>
      <c r="BO13" s="3334"/>
      <c r="BP13" s="3334"/>
      <c r="BQ13" s="3334"/>
      <c r="BR13" s="3334"/>
      <c r="BS13" s="3351"/>
      <c r="BT13" s="3252" t="s">
        <v>1122</v>
      </c>
      <c r="BU13" s="3300"/>
      <c r="BV13" s="3252" t="s">
        <v>1123</v>
      </c>
      <c r="BW13" s="3300"/>
      <c r="BX13" s="3252" t="s">
        <v>1124</v>
      </c>
      <c r="BY13" s="3300"/>
      <c r="BZ13" s="3252" t="s">
        <v>1125</v>
      </c>
      <c r="CA13" s="3300"/>
      <c r="CB13" s="3252" t="s">
        <v>1126</v>
      </c>
      <c r="CC13" s="3300"/>
      <c r="CD13" s="3252" t="s">
        <v>1127</v>
      </c>
      <c r="CE13" s="3300"/>
      <c r="CF13" s="3252" t="s">
        <v>1128</v>
      </c>
      <c r="CG13" s="3300"/>
      <c r="CH13" s="3298" t="s">
        <v>1129</v>
      </c>
      <c r="CI13" s="3299"/>
      <c r="CJ13" s="3299"/>
      <c r="CK13" s="3333"/>
      <c r="CL13" s="3335"/>
      <c r="CM13" s="3334"/>
      <c r="CN13" s="3334"/>
      <c r="CO13" s="3334"/>
      <c r="CP13" s="3334"/>
      <c r="CQ13" s="3334"/>
      <c r="CR13" s="3334"/>
      <c r="CS13" s="3334"/>
      <c r="CT13" s="3334"/>
      <c r="CU13" s="3334"/>
      <c r="CV13" s="3334"/>
      <c r="CW13" s="3334"/>
      <c r="CX13" s="3351"/>
      <c r="CY13" s="3252" t="s">
        <v>1130</v>
      </c>
      <c r="CZ13" s="3300"/>
      <c r="DA13" s="3252" t="s">
        <v>1131</v>
      </c>
      <c r="DB13" s="3300"/>
      <c r="DC13" s="3252" t="s">
        <v>1132</v>
      </c>
      <c r="DD13" s="3300"/>
      <c r="DE13" s="3252" t="s">
        <v>1133</v>
      </c>
      <c r="DF13" s="3300"/>
      <c r="DG13" s="3298" t="s">
        <v>1134</v>
      </c>
      <c r="DH13" s="3299"/>
      <c r="DI13" s="3299"/>
      <c r="DJ13" s="3333"/>
      <c r="DK13" s="3335"/>
      <c r="DL13" s="3334"/>
      <c r="DM13" s="3334"/>
      <c r="DN13" s="3334"/>
      <c r="DO13" s="3334"/>
      <c r="DP13" s="3334"/>
      <c r="DQ13" s="3334"/>
      <c r="DR13" s="3334"/>
      <c r="DS13" s="3334"/>
      <c r="DT13" s="3334"/>
      <c r="DU13" s="3334"/>
      <c r="DV13" s="3334"/>
      <c r="DW13" s="3334"/>
      <c r="DX13" s="3334"/>
      <c r="DY13" s="3334"/>
      <c r="DZ13" s="3334"/>
      <c r="EA13" s="3334"/>
      <c r="EB13" s="3334"/>
      <c r="EC13" s="3334"/>
      <c r="ED13" s="3334"/>
      <c r="EE13" s="3334"/>
      <c r="EF13" s="3334"/>
      <c r="EG13" s="3334"/>
      <c r="EH13" s="3334"/>
      <c r="EI13" s="3334"/>
      <c r="EJ13" s="3334"/>
      <c r="EK13" s="3334"/>
      <c r="EL13" s="3334"/>
      <c r="EM13" s="3334"/>
      <c r="EN13" s="3334"/>
      <c r="EO13" s="3334"/>
      <c r="EP13" s="3334"/>
      <c r="EQ13" s="3334"/>
      <c r="ER13" s="3334"/>
      <c r="ES13" s="3334"/>
      <c r="ET13" s="3334"/>
      <c r="EU13" s="3334"/>
      <c r="EV13" s="3334"/>
      <c r="EW13" s="3334"/>
      <c r="EX13" s="3334"/>
      <c r="EY13" s="3334"/>
      <c r="EZ13" s="3334"/>
      <c r="FA13" s="3334"/>
      <c r="FB13" s="3334"/>
      <c r="FC13" s="3334"/>
      <c r="FD13" s="3334"/>
      <c r="FE13" s="3334"/>
      <c r="FF13" s="3334"/>
      <c r="FG13" s="3334"/>
      <c r="FH13" s="3334"/>
      <c r="FI13" s="3334"/>
      <c r="FJ13" s="3334"/>
      <c r="FK13" s="3334"/>
      <c r="FL13" s="3334"/>
      <c r="FM13" s="3334"/>
      <c r="FN13" s="3334"/>
      <c r="FO13" s="3334"/>
      <c r="FP13" s="3334"/>
      <c r="FQ13" s="3334"/>
      <c r="FR13" s="3334"/>
      <c r="FS13" s="3334"/>
      <c r="FT13" s="3334"/>
      <c r="FU13" s="3334"/>
      <c r="FV13" s="3334"/>
      <c r="FW13" s="3346"/>
      <c r="FX13" s="694"/>
      <c r="GC13" s="849">
        <v>36</v>
      </c>
    </row>
    <row r="14" spans="2:185" ht="37.75" customHeight="1">
      <c r="D14" s="861"/>
      <c r="E14" s="860"/>
      <c r="F14" s="3155"/>
      <c r="G14" s="3155"/>
      <c r="H14" s="3155"/>
      <c r="I14" s="3155"/>
      <c r="J14" s="3336"/>
      <c r="K14" s="3336"/>
      <c r="L14" s="3336"/>
      <c r="M14" s="3336"/>
      <c r="N14" s="3336"/>
      <c r="O14" s="3252" t="s">
        <v>1135</v>
      </c>
      <c r="P14" s="3300"/>
      <c r="Q14" s="3252" t="s">
        <v>1136</v>
      </c>
      <c r="R14" s="3300"/>
      <c r="S14" s="3253"/>
      <c r="T14" s="3163"/>
      <c r="U14" s="3252" t="s">
        <v>868</v>
      </c>
      <c r="V14" s="3300"/>
      <c r="W14" s="3252" t="s">
        <v>871</v>
      </c>
      <c r="X14" s="3300"/>
      <c r="Y14" s="3252" t="s">
        <v>868</v>
      </c>
      <c r="Z14" s="3300"/>
      <c r="AA14" s="3252" t="s">
        <v>878</v>
      </c>
      <c r="AB14" s="3300"/>
      <c r="AC14" s="3334"/>
      <c r="AD14" s="3334"/>
      <c r="AE14" s="3334"/>
      <c r="AF14" s="3334"/>
      <c r="AG14" s="3334"/>
      <c r="AH14" s="3334"/>
      <c r="AI14" s="3334"/>
      <c r="AJ14" s="3334"/>
      <c r="AK14" s="3334"/>
      <c r="AL14" s="3334"/>
      <c r="AM14" s="3334"/>
      <c r="AN14" s="3334"/>
      <c r="AO14" s="3334"/>
      <c r="AP14" s="3334"/>
      <c r="AQ14" s="3334"/>
      <c r="AR14" s="3334"/>
      <c r="AS14" s="3334"/>
      <c r="AT14" s="3334"/>
      <c r="AU14" s="3334"/>
      <c r="AV14" s="3334"/>
      <c r="AW14" s="3334"/>
      <c r="AX14" s="3334"/>
      <c r="AY14" s="3334"/>
      <c r="AZ14" s="3334"/>
      <c r="BA14" s="3334"/>
      <c r="BB14" s="3334"/>
      <c r="BC14" s="3334"/>
      <c r="BD14" s="3334"/>
      <c r="BE14" s="3334"/>
      <c r="BF14" s="3334"/>
      <c r="BG14" s="3334"/>
      <c r="BH14" s="3334"/>
      <c r="BI14" s="3334"/>
      <c r="BJ14" s="3334"/>
      <c r="BK14" s="3334"/>
      <c r="BL14" s="3334"/>
      <c r="BM14" s="3334"/>
      <c r="BN14" s="3334"/>
      <c r="BO14" s="3334"/>
      <c r="BP14" s="3334"/>
      <c r="BQ14" s="3334"/>
      <c r="BR14" s="3334"/>
      <c r="BS14" s="3351"/>
      <c r="BT14" s="3253"/>
      <c r="BU14" s="3163"/>
      <c r="BV14" s="3253"/>
      <c r="BW14" s="3163"/>
      <c r="BX14" s="3253"/>
      <c r="BY14" s="3163"/>
      <c r="BZ14" s="3253"/>
      <c r="CA14" s="3163"/>
      <c r="CB14" s="3253"/>
      <c r="CC14" s="3163"/>
      <c r="CD14" s="3253"/>
      <c r="CE14" s="3163"/>
      <c r="CF14" s="3253"/>
      <c r="CG14" s="3163"/>
      <c r="CH14" s="3252" t="s">
        <v>1137</v>
      </c>
      <c r="CI14" s="3300"/>
      <c r="CJ14" s="3252" t="s">
        <v>1138</v>
      </c>
      <c r="CK14" s="3300"/>
      <c r="CL14" s="3335"/>
      <c r="CM14" s="3334"/>
      <c r="CN14" s="3334"/>
      <c r="CO14" s="3334"/>
      <c r="CP14" s="3334"/>
      <c r="CQ14" s="3334"/>
      <c r="CR14" s="3334"/>
      <c r="CS14" s="3334"/>
      <c r="CT14" s="3334"/>
      <c r="CU14" s="3334"/>
      <c r="CV14" s="3334"/>
      <c r="CW14" s="3334"/>
      <c r="CX14" s="3351"/>
      <c r="CY14" s="3253"/>
      <c r="CZ14" s="3163"/>
      <c r="DA14" s="3253"/>
      <c r="DB14" s="3163"/>
      <c r="DC14" s="3253"/>
      <c r="DD14" s="3163"/>
      <c r="DE14" s="3253"/>
      <c r="DF14" s="3163"/>
      <c r="DG14" s="3252" t="s">
        <v>1139</v>
      </c>
      <c r="DH14" s="3300"/>
      <c r="DI14" s="3252" t="s">
        <v>1140</v>
      </c>
      <c r="DJ14" s="3300"/>
      <c r="DK14" s="3335"/>
      <c r="DL14" s="3334"/>
      <c r="DM14" s="3334"/>
      <c r="DN14" s="3334"/>
      <c r="DO14" s="3334"/>
      <c r="DP14" s="3334"/>
      <c r="DQ14" s="3334"/>
      <c r="DR14" s="3334"/>
      <c r="DS14" s="3334"/>
      <c r="DT14" s="3334"/>
      <c r="DU14" s="3334"/>
      <c r="DV14" s="3334"/>
      <c r="DW14" s="3334"/>
      <c r="DX14" s="3334"/>
      <c r="DY14" s="3334"/>
      <c r="DZ14" s="3334"/>
      <c r="EA14" s="3334"/>
      <c r="EB14" s="3334"/>
      <c r="EC14" s="3334"/>
      <c r="ED14" s="3334"/>
      <c r="EE14" s="3334"/>
      <c r="EF14" s="3334"/>
      <c r="EG14" s="3334"/>
      <c r="EH14" s="3334"/>
      <c r="EI14" s="3334"/>
      <c r="EJ14" s="3334"/>
      <c r="EK14" s="3334"/>
      <c r="EL14" s="3334"/>
      <c r="EM14" s="3334"/>
      <c r="EN14" s="3334"/>
      <c r="EO14" s="3334"/>
      <c r="EP14" s="3334"/>
      <c r="EQ14" s="3334"/>
      <c r="ER14" s="3334"/>
      <c r="ES14" s="3334"/>
      <c r="ET14" s="3334"/>
      <c r="EU14" s="3334"/>
      <c r="EV14" s="3334"/>
      <c r="EW14" s="3334"/>
      <c r="EX14" s="3334"/>
      <c r="EY14" s="3334"/>
      <c r="EZ14" s="3334"/>
      <c r="FA14" s="3334"/>
      <c r="FB14" s="3334"/>
      <c r="FC14" s="3334"/>
      <c r="FD14" s="3334"/>
      <c r="FE14" s="3334"/>
      <c r="FF14" s="3334"/>
      <c r="FG14" s="3334"/>
      <c r="FH14" s="3334"/>
      <c r="FI14" s="3334"/>
      <c r="FJ14" s="3334"/>
      <c r="FK14" s="3334"/>
      <c r="FL14" s="3334"/>
      <c r="FM14" s="3334"/>
      <c r="FN14" s="3334"/>
      <c r="FO14" s="3334"/>
      <c r="FP14" s="3334"/>
      <c r="FQ14" s="3334"/>
      <c r="FR14" s="3334"/>
      <c r="FS14" s="3334"/>
      <c r="FT14" s="3334"/>
      <c r="FU14" s="3334"/>
      <c r="FV14" s="3334"/>
      <c r="FW14" s="3346"/>
      <c r="FX14" s="694"/>
      <c r="GC14" s="849">
        <v>36</v>
      </c>
    </row>
    <row r="15" spans="2:185" ht="37.75" customHeight="1">
      <c r="D15" s="861"/>
      <c r="E15" s="860"/>
      <c r="F15" s="3155"/>
      <c r="G15" s="3155"/>
      <c r="H15" s="3155"/>
      <c r="I15" s="3155"/>
      <c r="J15" s="3336"/>
      <c r="K15" s="3336"/>
      <c r="L15" s="3336"/>
      <c r="M15" s="3336"/>
      <c r="N15" s="3336"/>
      <c r="O15" s="3254"/>
      <c r="P15" s="3317"/>
      <c r="Q15" s="3254"/>
      <c r="R15" s="3317"/>
      <c r="S15" s="3254"/>
      <c r="T15" s="3317"/>
      <c r="U15" s="3254"/>
      <c r="V15" s="3317"/>
      <c r="W15" s="3254"/>
      <c r="X15" s="3317"/>
      <c r="Y15" s="3254"/>
      <c r="Z15" s="3317"/>
      <c r="AA15" s="3254"/>
      <c r="AB15" s="3317"/>
      <c r="AC15" s="3334"/>
      <c r="AD15" s="3334"/>
      <c r="AE15" s="3334"/>
      <c r="AF15" s="3334"/>
      <c r="AG15" s="3334"/>
      <c r="AH15" s="3334"/>
      <c r="AI15" s="3334"/>
      <c r="AJ15" s="3334"/>
      <c r="AK15" s="3334"/>
      <c r="AL15" s="3334"/>
      <c r="AM15" s="3334"/>
      <c r="AN15" s="3334"/>
      <c r="AO15" s="3334"/>
      <c r="AP15" s="3334"/>
      <c r="AQ15" s="3334"/>
      <c r="AR15" s="3334"/>
      <c r="AS15" s="3334"/>
      <c r="AT15" s="3334"/>
      <c r="AU15" s="3334"/>
      <c r="AV15" s="3334"/>
      <c r="AW15" s="3334"/>
      <c r="AX15" s="3334"/>
      <c r="AY15" s="3334"/>
      <c r="AZ15" s="3334"/>
      <c r="BA15" s="3334"/>
      <c r="BB15" s="3334"/>
      <c r="BC15" s="3334"/>
      <c r="BD15" s="3334"/>
      <c r="BE15" s="3334"/>
      <c r="BF15" s="3334"/>
      <c r="BG15" s="3334"/>
      <c r="BH15" s="3334"/>
      <c r="BI15" s="3334"/>
      <c r="BJ15" s="3334"/>
      <c r="BK15" s="3334"/>
      <c r="BL15" s="3334"/>
      <c r="BM15" s="3334"/>
      <c r="BN15" s="3334"/>
      <c r="BO15" s="3334"/>
      <c r="BP15" s="3334"/>
      <c r="BQ15" s="3334"/>
      <c r="BR15" s="3334"/>
      <c r="BS15" s="3351"/>
      <c r="BT15" s="3254"/>
      <c r="BU15" s="3317"/>
      <c r="BV15" s="3254"/>
      <c r="BW15" s="3317"/>
      <c r="BX15" s="3254"/>
      <c r="BY15" s="3317"/>
      <c r="BZ15" s="3254"/>
      <c r="CA15" s="3317"/>
      <c r="CB15" s="3254"/>
      <c r="CC15" s="3317"/>
      <c r="CD15" s="3254"/>
      <c r="CE15" s="3317"/>
      <c r="CF15" s="3254"/>
      <c r="CG15" s="3317"/>
      <c r="CH15" s="3254"/>
      <c r="CI15" s="3317"/>
      <c r="CJ15" s="3254"/>
      <c r="CK15" s="3317"/>
      <c r="CL15" s="3335"/>
      <c r="CM15" s="3334"/>
      <c r="CN15" s="3334"/>
      <c r="CO15" s="3334"/>
      <c r="CP15" s="3334"/>
      <c r="CQ15" s="3334"/>
      <c r="CR15" s="3334"/>
      <c r="CS15" s="3334"/>
      <c r="CT15" s="3334"/>
      <c r="CU15" s="3334"/>
      <c r="CV15" s="3334"/>
      <c r="CW15" s="3334"/>
      <c r="CX15" s="3351"/>
      <c r="CY15" s="3254"/>
      <c r="CZ15" s="3317"/>
      <c r="DA15" s="3254"/>
      <c r="DB15" s="3317"/>
      <c r="DC15" s="3254"/>
      <c r="DD15" s="3317"/>
      <c r="DE15" s="3254"/>
      <c r="DF15" s="3317"/>
      <c r="DG15" s="3254"/>
      <c r="DH15" s="3317"/>
      <c r="DI15" s="3254"/>
      <c r="DJ15" s="3317"/>
      <c r="DK15" s="3335"/>
      <c r="DL15" s="3334"/>
      <c r="DM15" s="3334"/>
      <c r="DN15" s="3334"/>
      <c r="DO15" s="3334"/>
      <c r="DP15" s="3334"/>
      <c r="DQ15" s="3334"/>
      <c r="DR15" s="3334"/>
      <c r="DS15" s="3334"/>
      <c r="DT15" s="3334"/>
      <c r="DU15" s="3334"/>
      <c r="DV15" s="3334"/>
      <c r="DW15" s="3334"/>
      <c r="DX15" s="3334"/>
      <c r="DY15" s="3334"/>
      <c r="DZ15" s="3334"/>
      <c r="EA15" s="3334"/>
      <c r="EB15" s="3334"/>
      <c r="EC15" s="3334"/>
      <c r="ED15" s="3334"/>
      <c r="EE15" s="3334"/>
      <c r="EF15" s="3334"/>
      <c r="EG15" s="3334"/>
      <c r="EH15" s="3334"/>
      <c r="EI15" s="3334"/>
      <c r="EJ15" s="3334"/>
      <c r="EK15" s="3334"/>
      <c r="EL15" s="3334"/>
      <c r="EM15" s="3334"/>
      <c r="EN15" s="3334"/>
      <c r="EO15" s="3334"/>
      <c r="EP15" s="3334"/>
      <c r="EQ15" s="3334"/>
      <c r="ER15" s="3334"/>
      <c r="ES15" s="3334"/>
      <c r="ET15" s="3334"/>
      <c r="EU15" s="3334"/>
      <c r="EV15" s="3334"/>
      <c r="EW15" s="3334"/>
      <c r="EX15" s="3334"/>
      <c r="EY15" s="3334"/>
      <c r="EZ15" s="3334"/>
      <c r="FA15" s="3334"/>
      <c r="FB15" s="3334"/>
      <c r="FC15" s="3334"/>
      <c r="FD15" s="3334"/>
      <c r="FE15" s="3334"/>
      <c r="FF15" s="3334"/>
      <c r="FG15" s="3334"/>
      <c r="FH15" s="3334"/>
      <c r="FI15" s="3334"/>
      <c r="FJ15" s="3334"/>
      <c r="FK15" s="3334"/>
      <c r="FL15" s="3334"/>
      <c r="FM15" s="3334"/>
      <c r="FN15" s="3334"/>
      <c r="FO15" s="3334"/>
      <c r="FP15" s="3334"/>
      <c r="FQ15" s="3334"/>
      <c r="FR15" s="3334"/>
      <c r="FS15" s="3334"/>
      <c r="FT15" s="3334"/>
      <c r="FU15" s="3334"/>
      <c r="FV15" s="3334"/>
      <c r="FW15" s="3346"/>
      <c r="FX15" s="694"/>
      <c r="GC15" s="849">
        <v>36</v>
      </c>
    </row>
    <row r="16" spans="2:185" ht="12.75" customHeight="1">
      <c r="D16" s="861"/>
      <c r="E16" s="860"/>
      <c r="F16" s="3155"/>
      <c r="G16" s="3155"/>
      <c r="H16" s="3155"/>
      <c r="I16" s="3155"/>
      <c r="J16" s="3336"/>
      <c r="K16" s="3336"/>
      <c r="L16" s="3336"/>
      <c r="M16" s="3336"/>
      <c r="N16" s="3336"/>
      <c r="O16" s="3298" t="s">
        <v>858</v>
      </c>
      <c r="P16" s="3333"/>
      <c r="Q16" s="3298" t="s">
        <v>860</v>
      </c>
      <c r="R16" s="3333"/>
      <c r="S16" s="3298" t="s">
        <v>864</v>
      </c>
      <c r="T16" s="3333"/>
      <c r="U16" s="3298" t="s">
        <v>869</v>
      </c>
      <c r="V16" s="3333"/>
      <c r="W16" s="3298" t="s">
        <v>872</v>
      </c>
      <c r="X16" s="3333"/>
      <c r="Y16" s="3298" t="s">
        <v>876</v>
      </c>
      <c r="Z16" s="3333"/>
      <c r="AA16" s="3298" t="s">
        <v>879</v>
      </c>
      <c r="AB16" s="3333"/>
      <c r="AC16" s="3334"/>
      <c r="AD16" s="3334"/>
      <c r="AE16" s="3334"/>
      <c r="AF16" s="3334"/>
      <c r="AG16" s="3334"/>
      <c r="AH16" s="3334"/>
      <c r="AI16" s="3334"/>
      <c r="AJ16" s="3334"/>
      <c r="AK16" s="3334"/>
      <c r="AL16" s="3334"/>
      <c r="AM16" s="3334"/>
      <c r="AN16" s="3334"/>
      <c r="AO16" s="3334"/>
      <c r="AP16" s="3334"/>
      <c r="AQ16" s="3334"/>
      <c r="AR16" s="3334"/>
      <c r="AS16" s="3334"/>
      <c r="AT16" s="3334"/>
      <c r="AU16" s="3334"/>
      <c r="AV16" s="3334"/>
      <c r="AW16" s="3334"/>
      <c r="AX16" s="3334"/>
      <c r="AY16" s="3334"/>
      <c r="AZ16" s="3334"/>
      <c r="BA16" s="3334"/>
      <c r="BB16" s="3334"/>
      <c r="BC16" s="3334"/>
      <c r="BD16" s="3334"/>
      <c r="BE16" s="3334"/>
      <c r="BF16" s="3334"/>
      <c r="BG16" s="3334"/>
      <c r="BH16" s="3334"/>
      <c r="BI16" s="3334"/>
      <c r="BJ16" s="3334"/>
      <c r="BK16" s="3334"/>
      <c r="BL16" s="3334"/>
      <c r="BM16" s="3334"/>
      <c r="BN16" s="3334"/>
      <c r="BO16" s="3334"/>
      <c r="BP16" s="3334"/>
      <c r="BQ16" s="3334"/>
      <c r="BR16" s="3334"/>
      <c r="BS16" s="3351"/>
      <c r="BT16" s="3298" t="s">
        <v>591</v>
      </c>
      <c r="BU16" s="3333"/>
      <c r="BV16" s="3298" t="s">
        <v>591</v>
      </c>
      <c r="BW16" s="3333"/>
      <c r="BX16" s="3298" t="s">
        <v>591</v>
      </c>
      <c r="BY16" s="3333"/>
      <c r="BZ16" s="3298" t="s">
        <v>591</v>
      </c>
      <c r="CA16" s="3333"/>
      <c r="CB16" s="3298" t="s">
        <v>1141</v>
      </c>
      <c r="CC16" s="3333"/>
      <c r="CD16" s="3298" t="s">
        <v>591</v>
      </c>
      <c r="CE16" s="3333"/>
      <c r="CF16" s="3298" t="s">
        <v>1142</v>
      </c>
      <c r="CG16" s="3333"/>
      <c r="CH16" s="3298" t="s">
        <v>1143</v>
      </c>
      <c r="CI16" s="3333"/>
      <c r="CJ16" s="3298" t="s">
        <v>1143</v>
      </c>
      <c r="CK16" s="3333"/>
      <c r="CL16" s="3335"/>
      <c r="CM16" s="3334"/>
      <c r="CN16" s="3334"/>
      <c r="CO16" s="3334"/>
      <c r="CP16" s="3334"/>
      <c r="CQ16" s="3334"/>
      <c r="CR16" s="3334"/>
      <c r="CS16" s="3334"/>
      <c r="CT16" s="3334"/>
      <c r="CU16" s="3334"/>
      <c r="CV16" s="3334"/>
      <c r="CW16" s="3334"/>
      <c r="CX16" s="3351"/>
      <c r="CY16" s="3252" t="s">
        <v>591</v>
      </c>
      <c r="CZ16" s="3300"/>
      <c r="DA16" s="3252" t="s">
        <v>591</v>
      </c>
      <c r="DB16" s="3300"/>
      <c r="DC16" s="3252" t="s">
        <v>591</v>
      </c>
      <c r="DD16" s="3300"/>
      <c r="DE16" s="3298" t="s">
        <v>1141</v>
      </c>
      <c r="DF16" s="3333"/>
      <c r="DG16" s="3298" t="s">
        <v>1144</v>
      </c>
      <c r="DH16" s="3333"/>
      <c r="DI16" s="3298" t="s">
        <v>1144</v>
      </c>
      <c r="DJ16" s="3333"/>
      <c r="DK16" s="3335"/>
      <c r="DL16" s="3334"/>
      <c r="DM16" s="3334"/>
      <c r="DN16" s="3334"/>
      <c r="DO16" s="3334"/>
      <c r="DP16" s="3334"/>
      <c r="DQ16" s="3334"/>
      <c r="DR16" s="3334"/>
      <c r="DS16" s="3334"/>
      <c r="DT16" s="3334"/>
      <c r="DU16" s="3334"/>
      <c r="DV16" s="3334"/>
      <c r="DW16" s="3334"/>
      <c r="DX16" s="3334"/>
      <c r="DY16" s="3334"/>
      <c r="DZ16" s="3334"/>
      <c r="EA16" s="3334"/>
      <c r="EB16" s="3334"/>
      <c r="EC16" s="3334"/>
      <c r="ED16" s="3334"/>
      <c r="EE16" s="3334"/>
      <c r="EF16" s="3334"/>
      <c r="EG16" s="3334"/>
      <c r="EH16" s="3334"/>
      <c r="EI16" s="3334"/>
      <c r="EJ16" s="3334"/>
      <c r="EK16" s="3334"/>
      <c r="EL16" s="3334"/>
      <c r="EM16" s="3334"/>
      <c r="EN16" s="3334"/>
      <c r="EO16" s="3334"/>
      <c r="EP16" s="3334"/>
      <c r="EQ16" s="3334"/>
      <c r="ER16" s="3334"/>
      <c r="ES16" s="3334"/>
      <c r="ET16" s="3334"/>
      <c r="EU16" s="3334"/>
      <c r="EV16" s="3334"/>
      <c r="EW16" s="3334"/>
      <c r="EX16" s="3334"/>
      <c r="EY16" s="3334"/>
      <c r="EZ16" s="3334"/>
      <c r="FA16" s="3334"/>
      <c r="FB16" s="3334"/>
      <c r="FC16" s="3334"/>
      <c r="FD16" s="3334"/>
      <c r="FE16" s="3334"/>
      <c r="FF16" s="3334"/>
      <c r="FG16" s="3334"/>
      <c r="FH16" s="3334"/>
      <c r="FI16" s="3334"/>
      <c r="FJ16" s="3334"/>
      <c r="FK16" s="3334"/>
      <c r="FL16" s="3334"/>
      <c r="FM16" s="3334"/>
      <c r="FN16" s="3334"/>
      <c r="FO16" s="3334"/>
      <c r="FP16" s="3334"/>
      <c r="FQ16" s="3334"/>
      <c r="FR16" s="3334"/>
      <c r="FS16" s="3334"/>
      <c r="FT16" s="3334"/>
      <c r="FU16" s="3334"/>
      <c r="FV16" s="3334"/>
      <c r="FW16" s="3346"/>
      <c r="FX16" s="694"/>
      <c r="GC16" s="849">
        <v>12</v>
      </c>
    </row>
    <row r="17" spans="1:185" ht="15.75" customHeight="1">
      <c r="E17" s="860"/>
      <c r="F17" s="3155"/>
      <c r="G17" s="3155"/>
      <c r="H17" s="3155"/>
      <c r="I17" s="3155"/>
      <c r="J17" s="3336"/>
      <c r="K17" s="3336"/>
      <c r="L17" s="3336"/>
      <c r="M17" s="3336"/>
      <c r="N17" s="3336"/>
      <c r="O17" s="1108" t="s">
        <v>1145</v>
      </c>
      <c r="P17" s="1108" t="s">
        <v>1146</v>
      </c>
      <c r="Q17" s="1108" t="s">
        <v>1145</v>
      </c>
      <c r="R17" s="1108" t="s">
        <v>1146</v>
      </c>
      <c r="S17" s="1108" t="s">
        <v>1145</v>
      </c>
      <c r="T17" s="1108" t="s">
        <v>1146</v>
      </c>
      <c r="U17" s="1108" t="s">
        <v>1145</v>
      </c>
      <c r="V17" s="1108" t="s">
        <v>1146</v>
      </c>
      <c r="W17" s="1108" t="s">
        <v>1145</v>
      </c>
      <c r="X17" s="1108" t="s">
        <v>1146</v>
      </c>
      <c r="Y17" s="1108" t="s">
        <v>1145</v>
      </c>
      <c r="Z17" s="1108" t="s">
        <v>1146</v>
      </c>
      <c r="AA17" s="1108" t="s">
        <v>1145</v>
      </c>
      <c r="AB17" s="1108" t="s">
        <v>1146</v>
      </c>
      <c r="AC17" s="3334"/>
      <c r="AD17" s="3334"/>
      <c r="AE17" s="3334"/>
      <c r="AF17" s="3334"/>
      <c r="AG17" s="3334"/>
      <c r="AH17" s="3334"/>
      <c r="AI17" s="3334"/>
      <c r="AJ17" s="3334"/>
      <c r="AK17" s="3334"/>
      <c r="AL17" s="3334"/>
      <c r="AM17" s="3334"/>
      <c r="AN17" s="3334"/>
      <c r="AO17" s="3334"/>
      <c r="AP17" s="3334"/>
      <c r="AQ17" s="3334"/>
      <c r="AR17" s="3334"/>
      <c r="AS17" s="3334"/>
      <c r="AT17" s="3334"/>
      <c r="AU17" s="3334"/>
      <c r="AV17" s="3334"/>
      <c r="AW17" s="3334"/>
      <c r="AX17" s="3334"/>
      <c r="AY17" s="3334"/>
      <c r="AZ17" s="3334"/>
      <c r="BA17" s="3334"/>
      <c r="BB17" s="3334"/>
      <c r="BC17" s="3334"/>
      <c r="BD17" s="3334"/>
      <c r="BE17" s="3334"/>
      <c r="BF17" s="3334"/>
      <c r="BG17" s="3334"/>
      <c r="BH17" s="3334"/>
      <c r="BI17" s="3334"/>
      <c r="BJ17" s="3334"/>
      <c r="BK17" s="3334"/>
      <c r="BL17" s="3334"/>
      <c r="BM17" s="3334"/>
      <c r="BN17" s="3334"/>
      <c r="BO17" s="3334"/>
      <c r="BP17" s="3334"/>
      <c r="BQ17" s="3334"/>
      <c r="BR17" s="3334"/>
      <c r="BS17" s="3351"/>
      <c r="BT17" s="1108" t="s">
        <v>1145</v>
      </c>
      <c r="BU17" s="1108" t="s">
        <v>1146</v>
      </c>
      <c r="BV17" s="1108" t="s">
        <v>1145</v>
      </c>
      <c r="BW17" s="1108" t="s">
        <v>1146</v>
      </c>
      <c r="BX17" s="1108" t="s">
        <v>1145</v>
      </c>
      <c r="BY17" s="1108" t="s">
        <v>1146</v>
      </c>
      <c r="BZ17" s="1108" t="s">
        <v>1145</v>
      </c>
      <c r="CA17" s="1108" t="s">
        <v>1146</v>
      </c>
      <c r="CB17" s="1108" t="s">
        <v>1145</v>
      </c>
      <c r="CC17" s="1108" t="s">
        <v>1146</v>
      </c>
      <c r="CD17" s="1108" t="s">
        <v>1145</v>
      </c>
      <c r="CE17" s="1108" t="s">
        <v>1146</v>
      </c>
      <c r="CF17" s="1108" t="s">
        <v>1145</v>
      </c>
      <c r="CG17" s="1108" t="s">
        <v>1146</v>
      </c>
      <c r="CH17" s="1108" t="s">
        <v>1145</v>
      </c>
      <c r="CI17" s="1108" t="s">
        <v>1146</v>
      </c>
      <c r="CJ17" s="1108" t="s">
        <v>1145</v>
      </c>
      <c r="CK17" s="1108" t="s">
        <v>1146</v>
      </c>
      <c r="CL17" s="3335"/>
      <c r="CM17" s="3334"/>
      <c r="CN17" s="3334"/>
      <c r="CO17" s="3334"/>
      <c r="CP17" s="3334"/>
      <c r="CQ17" s="3334"/>
      <c r="CR17" s="3334"/>
      <c r="CS17" s="3334"/>
      <c r="CT17" s="3334"/>
      <c r="CU17" s="3334"/>
      <c r="CV17" s="3334"/>
      <c r="CW17" s="3334"/>
      <c r="CX17" s="3351"/>
      <c r="CY17" s="1108" t="s">
        <v>1145</v>
      </c>
      <c r="CZ17" s="1108" t="s">
        <v>1146</v>
      </c>
      <c r="DA17" s="1108" t="s">
        <v>1145</v>
      </c>
      <c r="DB17" s="1108" t="s">
        <v>1146</v>
      </c>
      <c r="DC17" s="1108" t="s">
        <v>1145</v>
      </c>
      <c r="DD17" s="1108" t="s">
        <v>1146</v>
      </c>
      <c r="DE17" s="1108" t="s">
        <v>1145</v>
      </c>
      <c r="DF17" s="1108" t="s">
        <v>1146</v>
      </c>
      <c r="DG17" s="1108" t="s">
        <v>1145</v>
      </c>
      <c r="DH17" s="1108" t="s">
        <v>1146</v>
      </c>
      <c r="DI17" s="1108" t="s">
        <v>1145</v>
      </c>
      <c r="DJ17" s="1108" t="s">
        <v>1146</v>
      </c>
      <c r="DK17" s="3335"/>
      <c r="DL17" s="3334"/>
      <c r="DM17" s="3334"/>
      <c r="DN17" s="3334"/>
      <c r="DO17" s="3334"/>
      <c r="DP17" s="3334"/>
      <c r="DQ17" s="3334"/>
      <c r="DR17" s="3334"/>
      <c r="DS17" s="3334"/>
      <c r="DT17" s="3334"/>
      <c r="DU17" s="3334"/>
      <c r="DV17" s="3334"/>
      <c r="DW17" s="3334"/>
      <c r="DX17" s="3334"/>
      <c r="DY17" s="3334"/>
      <c r="DZ17" s="3334"/>
      <c r="EA17" s="3334"/>
      <c r="EB17" s="3334"/>
      <c r="EC17" s="3334"/>
      <c r="ED17" s="3334"/>
      <c r="EE17" s="3334"/>
      <c r="EF17" s="3334"/>
      <c r="EG17" s="3334"/>
      <c r="EH17" s="3334"/>
      <c r="EI17" s="3334"/>
      <c r="EJ17" s="3334"/>
      <c r="EK17" s="3334"/>
      <c r="EL17" s="3334"/>
      <c r="EM17" s="3334"/>
      <c r="EN17" s="3334"/>
      <c r="EO17" s="3334"/>
      <c r="EP17" s="3334"/>
      <c r="EQ17" s="3334"/>
      <c r="ER17" s="3334"/>
      <c r="ES17" s="3334"/>
      <c r="ET17" s="3334"/>
      <c r="EU17" s="3334"/>
      <c r="EV17" s="3334"/>
      <c r="EW17" s="3334"/>
      <c r="EX17" s="3334"/>
      <c r="EY17" s="3334"/>
      <c r="EZ17" s="3334"/>
      <c r="FA17" s="3334"/>
      <c r="FB17" s="3334"/>
      <c r="FC17" s="3334"/>
      <c r="FD17" s="3334"/>
      <c r="FE17" s="3334"/>
      <c r="FF17" s="3334"/>
      <c r="FG17" s="3334"/>
      <c r="FH17" s="3334"/>
      <c r="FI17" s="3334"/>
      <c r="FJ17" s="3334"/>
      <c r="FK17" s="3334"/>
      <c r="FL17" s="3334"/>
      <c r="FM17" s="3334"/>
      <c r="FN17" s="3334"/>
      <c r="FO17" s="3334"/>
      <c r="FP17" s="3334"/>
      <c r="FQ17" s="3334"/>
      <c r="FR17" s="3334"/>
      <c r="FS17" s="3334"/>
      <c r="FT17" s="3334"/>
      <c r="FU17" s="3334"/>
      <c r="FV17" s="3334"/>
      <c r="FW17" s="3347"/>
      <c r="FX17" s="694"/>
      <c r="GC17" s="849">
        <v>15</v>
      </c>
    </row>
    <row r="18" spans="1:185" s="2988" customFormat="1" ht="12" hidden="1" customHeight="1">
      <c r="B18" s="846"/>
      <c r="E18" s="862"/>
      <c r="F18" s="1109"/>
      <c r="G18" s="1109"/>
      <c r="H18" s="1109"/>
      <c r="I18" s="1109"/>
      <c r="J18" s="1110"/>
      <c r="K18" s="1110"/>
      <c r="L18" s="1110"/>
      <c r="M18" s="1110"/>
      <c r="N18" s="1110"/>
      <c r="O18" s="1109"/>
      <c r="P18" s="1109"/>
      <c r="Q18" s="1109"/>
      <c r="R18" s="1109"/>
      <c r="S18" s="1109"/>
      <c r="T18" s="1109"/>
      <c r="U18" s="1111"/>
      <c r="V18" s="1111"/>
      <c r="W18" s="1111"/>
      <c r="X18" s="1111"/>
      <c r="Y18" s="1111"/>
      <c r="Z18" s="1111"/>
      <c r="AA18" s="1111"/>
      <c r="AB18" s="1109"/>
      <c r="AC18" s="1110"/>
      <c r="AD18" s="1110"/>
      <c r="AE18" s="1110"/>
      <c r="AF18" s="1110"/>
      <c r="AG18" s="1110"/>
      <c r="AH18" s="1110"/>
      <c r="AI18" s="1110"/>
      <c r="AJ18" s="1110"/>
      <c r="AK18" s="1110"/>
      <c r="AL18" s="1110"/>
      <c r="AM18" s="1110"/>
      <c r="AN18" s="1110"/>
      <c r="AO18" s="1110"/>
      <c r="AP18" s="1110"/>
      <c r="AQ18" s="1110"/>
      <c r="AR18" s="1110"/>
      <c r="AS18" s="1110"/>
      <c r="AT18" s="1110"/>
      <c r="AU18" s="1110"/>
      <c r="AV18" s="1110"/>
      <c r="AW18" s="1110"/>
      <c r="AX18" s="1110"/>
      <c r="AY18" s="1110"/>
      <c r="AZ18" s="1110"/>
      <c r="BA18" s="1110"/>
      <c r="BB18" s="1110"/>
      <c r="BC18" s="1110"/>
      <c r="BD18" s="1110"/>
      <c r="BE18" s="1110"/>
      <c r="BF18" s="1110"/>
      <c r="BG18" s="1110"/>
      <c r="BH18" s="1110"/>
      <c r="BI18" s="1110"/>
      <c r="BJ18" s="1110"/>
      <c r="BK18" s="1110"/>
      <c r="BL18" s="1110"/>
      <c r="BM18" s="1110"/>
      <c r="BN18" s="1110"/>
      <c r="BO18" s="1110"/>
      <c r="BP18" s="1110"/>
      <c r="BQ18" s="1110"/>
      <c r="BR18" s="1110"/>
      <c r="BS18" s="1110"/>
      <c r="BT18" s="1112"/>
      <c r="BU18" s="1112"/>
      <c r="BV18" s="1112"/>
      <c r="BW18" s="1112"/>
      <c r="BX18" s="1112"/>
      <c r="BY18" s="1112"/>
      <c r="BZ18" s="1112"/>
      <c r="CA18" s="1112"/>
      <c r="CB18" s="1112"/>
      <c r="CC18" s="1112"/>
      <c r="CD18" s="1112"/>
      <c r="CE18" s="1112"/>
      <c r="CF18" s="1112"/>
      <c r="CG18" s="1112"/>
      <c r="CH18" s="1112"/>
      <c r="CI18" s="1112"/>
      <c r="CJ18" s="1112"/>
      <c r="CK18" s="1112"/>
      <c r="CL18" s="1110"/>
      <c r="CM18" s="1110"/>
      <c r="CN18" s="1110"/>
      <c r="CO18" s="1110"/>
      <c r="CP18" s="1110"/>
      <c r="CQ18" s="1110"/>
      <c r="CR18" s="1110"/>
      <c r="CS18" s="1110"/>
      <c r="CT18" s="1110"/>
      <c r="CU18" s="1110"/>
      <c r="CV18" s="1110"/>
      <c r="CW18" s="1110"/>
      <c r="CX18" s="1110"/>
      <c r="CY18" s="1112"/>
      <c r="CZ18" s="1112"/>
      <c r="DA18" s="1112"/>
      <c r="DB18" s="1112"/>
      <c r="DC18" s="1112"/>
      <c r="DD18" s="1112"/>
      <c r="DE18" s="1112"/>
      <c r="DF18" s="1112"/>
      <c r="DG18" s="1112"/>
      <c r="DH18" s="1112"/>
      <c r="DI18" s="1112"/>
      <c r="DJ18" s="1112"/>
      <c r="DK18" s="1110"/>
      <c r="DL18" s="1110"/>
      <c r="DM18" s="1110"/>
      <c r="DN18" s="1110"/>
      <c r="DO18" s="1110"/>
      <c r="DP18" s="1110"/>
      <c r="DQ18" s="1110"/>
      <c r="DR18" s="1110"/>
      <c r="DS18" s="1110"/>
      <c r="DT18" s="1110"/>
      <c r="DU18" s="1110"/>
      <c r="DV18" s="1110"/>
      <c r="DW18" s="1110"/>
      <c r="DX18" s="1110"/>
      <c r="DY18" s="1110"/>
      <c r="DZ18" s="1110"/>
      <c r="EA18" s="1110"/>
      <c r="EB18" s="1110"/>
      <c r="EC18" s="1110"/>
      <c r="ED18" s="1110"/>
      <c r="EE18" s="1110"/>
      <c r="EF18" s="1110"/>
      <c r="EG18" s="1110"/>
      <c r="EH18" s="1110"/>
      <c r="EI18" s="1110"/>
      <c r="EJ18" s="1110"/>
      <c r="EK18" s="1110"/>
      <c r="EL18" s="1110"/>
      <c r="EM18" s="1110"/>
      <c r="EN18" s="1110"/>
      <c r="EO18" s="1110"/>
      <c r="EP18" s="1110"/>
      <c r="EQ18" s="1110"/>
      <c r="ER18" s="1110"/>
      <c r="ES18" s="1110"/>
      <c r="ET18" s="1110"/>
      <c r="EU18" s="1110"/>
      <c r="EV18" s="1110"/>
      <c r="EW18" s="1110"/>
      <c r="EX18" s="1110"/>
      <c r="EY18" s="1110"/>
      <c r="EZ18" s="1110"/>
      <c r="FA18" s="1110"/>
      <c r="FB18" s="1110"/>
      <c r="FC18" s="1110"/>
      <c r="FD18" s="1110"/>
      <c r="FE18" s="1110"/>
      <c r="FF18" s="1110"/>
      <c r="FG18" s="1110"/>
      <c r="FH18" s="1110"/>
      <c r="FI18" s="1110"/>
      <c r="FJ18" s="1110"/>
      <c r="FK18" s="1110"/>
      <c r="FL18" s="1110"/>
      <c r="FM18" s="1110"/>
      <c r="FN18" s="1110"/>
      <c r="FO18" s="1110"/>
      <c r="FP18" s="1110"/>
      <c r="FQ18" s="1110"/>
      <c r="FR18" s="1110"/>
      <c r="FS18" s="1110"/>
      <c r="FT18" s="1110"/>
      <c r="FU18" s="1110"/>
      <c r="FV18" s="1110"/>
      <c r="FW18" s="1109"/>
      <c r="FX18" s="1113"/>
      <c r="GC18" s="847">
        <v>0</v>
      </c>
    </row>
    <row r="19" spans="1:185" s="2988" customFormat="1" ht="11.25" hidden="1" customHeight="1">
      <c r="B19" s="846"/>
      <c r="E19" s="862"/>
      <c r="F19" s="1109"/>
      <c r="G19" s="1109"/>
      <c r="H19" s="1109"/>
      <c r="I19" s="1109"/>
      <c r="J19" s="1109"/>
      <c r="K19" s="1109"/>
      <c r="L19" s="1109"/>
      <c r="M19" s="1109"/>
      <c r="N19" s="1109"/>
      <c r="O19" s="1109"/>
      <c r="P19" s="1109"/>
      <c r="Q19" s="1109"/>
      <c r="R19" s="1109"/>
      <c r="S19" s="1109"/>
      <c r="T19" s="1109"/>
      <c r="U19" s="1111"/>
      <c r="V19" s="1111"/>
      <c r="W19" s="1111"/>
      <c r="X19" s="1111"/>
      <c r="Y19" s="1111"/>
      <c r="Z19" s="1111"/>
      <c r="AA19" s="1111"/>
      <c r="AB19" s="1109"/>
      <c r="AC19" s="1109"/>
      <c r="AD19" s="1109"/>
      <c r="AE19" s="1109"/>
      <c r="AF19" s="1109"/>
      <c r="AG19" s="1109"/>
      <c r="AH19" s="1109"/>
      <c r="AI19" s="1109"/>
      <c r="AJ19" s="1109"/>
      <c r="AK19" s="1109"/>
      <c r="AL19" s="1109"/>
      <c r="AM19" s="1109"/>
      <c r="AN19" s="1109"/>
      <c r="AO19" s="1109"/>
      <c r="AP19" s="1109"/>
      <c r="AQ19" s="1109"/>
      <c r="AR19" s="1109"/>
      <c r="AS19" s="1109"/>
      <c r="AT19" s="1109"/>
      <c r="AU19" s="1109"/>
      <c r="AV19" s="1109"/>
      <c r="AW19" s="1109"/>
      <c r="AX19" s="1109"/>
      <c r="AY19" s="1109"/>
      <c r="AZ19" s="1109"/>
      <c r="BA19" s="1109"/>
      <c r="BB19" s="1109"/>
      <c r="BC19" s="1109"/>
      <c r="BD19" s="1109"/>
      <c r="BE19" s="1109"/>
      <c r="BF19" s="1109"/>
      <c r="BG19" s="1109"/>
      <c r="BH19" s="1109"/>
      <c r="BI19" s="1109"/>
      <c r="BJ19" s="1109"/>
      <c r="BK19" s="1109"/>
      <c r="BL19" s="1109"/>
      <c r="BM19" s="1109"/>
      <c r="BN19" s="1109"/>
      <c r="BO19" s="1109"/>
      <c r="BP19" s="1109"/>
      <c r="BQ19" s="1109"/>
      <c r="BR19" s="1109"/>
      <c r="BS19" s="1109"/>
      <c r="BT19" s="1109"/>
      <c r="BU19" s="1109"/>
      <c r="BV19" s="1109"/>
      <c r="BW19" s="1109"/>
      <c r="BX19" s="1109"/>
      <c r="BY19" s="1109"/>
      <c r="BZ19" s="1109"/>
      <c r="CA19" s="1109"/>
      <c r="CB19" s="1109"/>
      <c r="CC19" s="1109"/>
      <c r="CD19" s="1109"/>
      <c r="CE19" s="1109"/>
      <c r="CF19" s="1109"/>
      <c r="CG19" s="1109"/>
      <c r="CH19" s="1109"/>
      <c r="CI19" s="1109"/>
      <c r="CJ19" s="1109"/>
      <c r="CK19" s="1109"/>
      <c r="CL19" s="1109"/>
      <c r="CM19" s="1109"/>
      <c r="CN19" s="1109"/>
      <c r="CO19" s="1109"/>
      <c r="CP19" s="1109"/>
      <c r="CQ19" s="1109"/>
      <c r="CR19" s="1109"/>
      <c r="CS19" s="1109"/>
      <c r="CT19" s="1109"/>
      <c r="CU19" s="1109"/>
      <c r="CV19" s="1109"/>
      <c r="CW19" s="1109"/>
      <c r="CX19" s="1109"/>
      <c r="CY19" s="1109"/>
      <c r="CZ19" s="1109"/>
      <c r="DA19" s="1109"/>
      <c r="DB19" s="1109"/>
      <c r="DC19" s="1109"/>
      <c r="DD19" s="1109"/>
      <c r="DE19" s="1109"/>
      <c r="DF19" s="1109"/>
      <c r="DG19" s="1109"/>
      <c r="DH19" s="1109"/>
      <c r="DI19" s="1109"/>
      <c r="DJ19" s="1109"/>
      <c r="DK19" s="1109"/>
      <c r="DL19" s="1109"/>
      <c r="DM19" s="1109"/>
      <c r="DN19" s="1109"/>
      <c r="DO19" s="1109"/>
      <c r="DP19" s="1109"/>
      <c r="DQ19" s="1109"/>
      <c r="DR19" s="1109"/>
      <c r="DS19" s="1109"/>
      <c r="DT19" s="1109"/>
      <c r="DU19" s="1109"/>
      <c r="DV19" s="1109"/>
      <c r="DW19" s="1109"/>
      <c r="DX19" s="1109"/>
      <c r="DY19" s="1109"/>
      <c r="DZ19" s="1109"/>
      <c r="EA19" s="1109"/>
      <c r="EB19" s="1109"/>
      <c r="EC19" s="1109"/>
      <c r="ED19" s="1109"/>
      <c r="EE19" s="1109"/>
      <c r="EF19" s="1109"/>
      <c r="EG19" s="1109"/>
      <c r="EH19" s="1109"/>
      <c r="EI19" s="1109"/>
      <c r="EJ19" s="1109"/>
      <c r="EK19" s="1109"/>
      <c r="EL19" s="1109"/>
      <c r="EM19" s="1109"/>
      <c r="EN19" s="1109"/>
      <c r="EO19" s="1109"/>
      <c r="EP19" s="1109"/>
      <c r="EQ19" s="1109"/>
      <c r="ER19" s="1109"/>
      <c r="ES19" s="1109"/>
      <c r="ET19" s="1109"/>
      <c r="EU19" s="1109"/>
      <c r="EV19" s="1109"/>
      <c r="EW19" s="1109"/>
      <c r="EX19" s="1109"/>
      <c r="EY19" s="1109"/>
      <c r="EZ19" s="1109"/>
      <c r="FA19" s="1109"/>
      <c r="FB19" s="1109"/>
      <c r="FC19" s="1109"/>
      <c r="FD19" s="1109"/>
      <c r="FE19" s="1109"/>
      <c r="FF19" s="1109"/>
      <c r="FG19" s="1109"/>
      <c r="FH19" s="1109"/>
      <c r="FI19" s="1109"/>
      <c r="FJ19" s="1109"/>
      <c r="FK19" s="1109"/>
      <c r="FL19" s="1109"/>
      <c r="FM19" s="1109"/>
      <c r="FN19" s="1109"/>
      <c r="FO19" s="1109"/>
      <c r="FP19" s="1109"/>
      <c r="FQ19" s="1109"/>
      <c r="FR19" s="1109"/>
      <c r="FS19" s="1109"/>
      <c r="FT19" s="1109"/>
      <c r="FU19" s="1109"/>
      <c r="FV19" s="1109"/>
      <c r="FW19" s="1109"/>
      <c r="FX19" s="1113"/>
      <c r="GC19" s="847">
        <v>0</v>
      </c>
    </row>
    <row r="20" spans="1:185" s="2988" customFormat="1" ht="11.25" hidden="1" customHeight="1">
      <c r="B20" s="863"/>
      <c r="D20" s="847"/>
      <c r="E20" s="862"/>
      <c r="F20" s="1114" t="s">
        <v>411</v>
      </c>
      <c r="G20" s="1115"/>
      <c r="H20" s="1116"/>
      <c r="I20" s="1116"/>
      <c r="J20" s="1116"/>
      <c r="K20" s="1116"/>
      <c r="L20" s="1116"/>
      <c r="M20" s="1116"/>
      <c r="N20" s="1116"/>
      <c r="O20" s="1115"/>
      <c r="P20" s="1115"/>
      <c r="Q20" s="1115"/>
      <c r="R20" s="1115"/>
      <c r="S20" s="1115"/>
      <c r="T20" s="1115"/>
      <c r="U20" s="1117"/>
      <c r="V20" s="1117"/>
      <c r="W20" s="1117"/>
      <c r="X20" s="1117"/>
      <c r="Y20" s="1117"/>
      <c r="Z20" s="1117"/>
      <c r="AA20" s="1117"/>
      <c r="AB20" s="1115"/>
      <c r="AC20" s="1116"/>
      <c r="AD20" s="1116"/>
      <c r="AE20" s="1116"/>
      <c r="AF20" s="1116"/>
      <c r="AG20" s="1116"/>
      <c r="AH20" s="1116"/>
      <c r="AI20" s="1116"/>
      <c r="AJ20" s="1116"/>
      <c r="AK20" s="1116"/>
      <c r="AL20" s="1116"/>
      <c r="AM20" s="1116"/>
      <c r="AN20" s="1116"/>
      <c r="AO20" s="1116"/>
      <c r="AP20" s="1116"/>
      <c r="AQ20" s="1116"/>
      <c r="AR20" s="1116"/>
      <c r="AS20" s="1116"/>
      <c r="AT20" s="1116"/>
      <c r="AU20" s="1116"/>
      <c r="AV20" s="1116"/>
      <c r="AW20" s="1116"/>
      <c r="AX20" s="1116"/>
      <c r="AY20" s="1116"/>
      <c r="AZ20" s="1116"/>
      <c r="BA20" s="1116"/>
      <c r="BB20" s="1116"/>
      <c r="BC20" s="1116"/>
      <c r="BD20" s="1116"/>
      <c r="BE20" s="1116"/>
      <c r="BF20" s="1116"/>
      <c r="BG20" s="1116"/>
      <c r="BH20" s="1116"/>
      <c r="BI20" s="1116"/>
      <c r="BJ20" s="1116"/>
      <c r="BK20" s="1116"/>
      <c r="BL20" s="1116"/>
      <c r="BM20" s="1116"/>
      <c r="BN20" s="1116"/>
      <c r="BO20" s="1116"/>
      <c r="BP20" s="1116"/>
      <c r="BQ20" s="1116"/>
      <c r="BR20" s="1116"/>
      <c r="BS20" s="1116"/>
      <c r="BT20" s="1116"/>
      <c r="BU20" s="1116"/>
      <c r="BV20" s="1116"/>
      <c r="BW20" s="1116"/>
      <c r="BX20" s="1116"/>
      <c r="BY20" s="1116"/>
      <c r="BZ20" s="1116"/>
      <c r="CA20" s="1116"/>
      <c r="CB20" s="1116"/>
      <c r="CC20" s="1116"/>
      <c r="CD20" s="1116"/>
      <c r="CE20" s="1116"/>
      <c r="CF20" s="1116"/>
      <c r="CG20" s="1116"/>
      <c r="CH20" s="1116"/>
      <c r="CI20" s="1116"/>
      <c r="CJ20" s="1116"/>
      <c r="CK20" s="1116"/>
      <c r="CL20" s="1118"/>
      <c r="CM20" s="1118"/>
      <c r="CN20" s="1118"/>
      <c r="CO20" s="1118"/>
      <c r="CP20" s="1118"/>
      <c r="CQ20" s="1118"/>
      <c r="CR20" s="1118"/>
      <c r="CS20" s="1118"/>
      <c r="CT20" s="1118"/>
      <c r="CU20" s="1118"/>
      <c r="CV20" s="1118"/>
      <c r="CW20" s="1118"/>
      <c r="CX20" s="1118"/>
      <c r="CY20" s="1118"/>
      <c r="CZ20" s="1118"/>
      <c r="DA20" s="1118"/>
      <c r="DB20" s="1118"/>
      <c r="DC20" s="1118"/>
      <c r="DD20" s="1118"/>
      <c r="DE20" s="1118"/>
      <c r="DF20" s="1118"/>
      <c r="DG20" s="1118"/>
      <c r="DH20" s="1118"/>
      <c r="DI20" s="1118"/>
      <c r="DJ20" s="1118"/>
      <c r="DK20" s="1118"/>
      <c r="DL20" s="1118"/>
      <c r="DM20" s="1118"/>
      <c r="DN20" s="1118"/>
      <c r="DO20" s="1118"/>
      <c r="DP20" s="1118"/>
      <c r="DQ20" s="1118"/>
      <c r="DR20" s="1118"/>
      <c r="DS20" s="1118"/>
      <c r="DT20" s="1118"/>
      <c r="DU20" s="1118"/>
      <c r="DV20" s="1118"/>
      <c r="DW20" s="1118"/>
      <c r="DX20" s="1118"/>
      <c r="DY20" s="1118"/>
      <c r="DZ20" s="1118"/>
      <c r="EA20" s="1118"/>
      <c r="EB20" s="1118"/>
      <c r="EC20" s="1118"/>
      <c r="ED20" s="1118"/>
      <c r="EE20" s="1118"/>
      <c r="EF20" s="1118"/>
      <c r="EG20" s="1118"/>
      <c r="EH20" s="1118"/>
      <c r="EI20" s="1118"/>
      <c r="EJ20" s="1118"/>
      <c r="EK20" s="1118"/>
      <c r="EL20" s="1118"/>
      <c r="EM20" s="1118"/>
      <c r="EN20" s="1118"/>
      <c r="EO20" s="1118"/>
      <c r="EP20" s="1118"/>
      <c r="EQ20" s="1118"/>
      <c r="ER20" s="1118"/>
      <c r="ES20" s="1118"/>
      <c r="ET20" s="1118"/>
      <c r="EU20" s="1118"/>
      <c r="EV20" s="1118"/>
      <c r="EW20" s="1118"/>
      <c r="EX20" s="1118"/>
      <c r="EY20" s="1118"/>
      <c r="EZ20" s="1118"/>
      <c r="FA20" s="1118"/>
      <c r="FB20" s="1118"/>
      <c r="FC20" s="1118"/>
      <c r="FD20" s="1118"/>
      <c r="FE20" s="1118"/>
      <c r="FF20" s="1118"/>
      <c r="FG20" s="1118"/>
      <c r="FH20" s="1118"/>
      <c r="FI20" s="1118"/>
      <c r="FJ20" s="1118"/>
      <c r="FK20" s="1118"/>
      <c r="FL20" s="1118"/>
      <c r="FM20" s="1118"/>
      <c r="FN20" s="1118"/>
      <c r="FO20" s="1118"/>
      <c r="FP20" s="1118"/>
      <c r="FQ20" s="1118"/>
      <c r="FR20" s="1118"/>
      <c r="FS20" s="1118"/>
      <c r="FT20" s="1118"/>
      <c r="FU20" s="1118"/>
      <c r="FV20" s="1118"/>
      <c r="FW20" s="1118"/>
      <c r="FX20" s="1119"/>
      <c r="GC20" s="845">
        <v>0</v>
      </c>
    </row>
    <row r="21" spans="1:185" s="2988" customFormat="1" ht="12.75" customHeight="1">
      <c r="A21" s="864"/>
      <c r="B21" s="864"/>
      <c r="C21" s="864"/>
      <c r="D21" s="864"/>
      <c r="E21" s="864"/>
      <c r="F21" s="862"/>
      <c r="G21" s="862"/>
      <c r="H21" s="862"/>
      <c r="I21" s="862"/>
      <c r="J21" s="862"/>
      <c r="K21" s="862"/>
      <c r="L21" s="862"/>
      <c r="M21" s="862"/>
      <c r="N21" s="862"/>
      <c r="O21" s="862"/>
      <c r="P21" s="862"/>
      <c r="Q21" s="862"/>
      <c r="R21" s="862"/>
      <c r="S21" s="865"/>
      <c r="T21" s="865"/>
      <c r="U21" s="862"/>
      <c r="V21" s="862"/>
      <c r="W21" s="862"/>
      <c r="X21" s="862"/>
      <c r="Y21" s="862"/>
      <c r="Z21" s="862"/>
      <c r="AA21" s="862"/>
      <c r="AB21" s="862"/>
      <c r="AC21" s="862"/>
      <c r="AD21" s="862"/>
      <c r="AE21" s="862"/>
      <c r="AF21" s="862"/>
      <c r="AG21" s="862"/>
      <c r="AH21" s="862"/>
      <c r="AI21" s="862"/>
      <c r="AJ21" s="862"/>
      <c r="AK21" s="862"/>
      <c r="AL21" s="862"/>
      <c r="AM21" s="862"/>
      <c r="AN21" s="862"/>
      <c r="AO21" s="862"/>
      <c r="AP21" s="862"/>
      <c r="AQ21" s="862"/>
      <c r="AR21" s="862"/>
      <c r="AS21" s="862"/>
      <c r="AT21" s="862"/>
      <c r="AU21" s="862"/>
      <c r="AV21" s="862"/>
      <c r="AW21" s="862"/>
      <c r="AX21" s="862"/>
      <c r="AY21" s="862"/>
      <c r="AZ21" s="862"/>
      <c r="BA21" s="862"/>
      <c r="BB21" s="862"/>
      <c r="BC21" s="862"/>
      <c r="BD21" s="862"/>
      <c r="BE21" s="862"/>
      <c r="BF21" s="862"/>
      <c r="BG21" s="862"/>
      <c r="BH21" s="862"/>
      <c r="BI21" s="862"/>
      <c r="BJ21" s="862"/>
      <c r="BK21" s="862"/>
      <c r="BL21" s="862"/>
      <c r="BM21" s="862"/>
      <c r="BN21" s="862"/>
      <c r="BO21" s="862"/>
      <c r="BP21" s="862"/>
      <c r="BQ21" s="862"/>
      <c r="BR21" s="862"/>
      <c r="BS21" s="862"/>
      <c r="BT21" s="862"/>
      <c r="BU21" s="862"/>
      <c r="BV21" s="862"/>
      <c r="BW21" s="862"/>
      <c r="BX21" s="862"/>
      <c r="BY21" s="862"/>
      <c r="BZ21" s="862"/>
      <c r="CA21" s="862"/>
      <c r="CB21" s="862"/>
      <c r="CC21" s="862"/>
      <c r="CD21" s="862"/>
      <c r="CE21" s="862"/>
      <c r="CF21" s="862"/>
      <c r="CG21" s="862"/>
      <c r="CH21" s="862"/>
      <c r="CI21" s="862"/>
      <c r="CJ21" s="862"/>
      <c r="CK21" s="862"/>
      <c r="CL21" s="862"/>
      <c r="CM21" s="862"/>
      <c r="CN21" s="862"/>
      <c r="CO21" s="862"/>
      <c r="CP21" s="862"/>
      <c r="CQ21" s="862"/>
      <c r="CR21" s="862"/>
      <c r="CS21" s="862"/>
      <c r="CT21" s="862"/>
      <c r="CU21" s="862"/>
      <c r="CV21" s="862"/>
      <c r="CW21" s="862"/>
      <c r="CX21" s="862"/>
      <c r="CY21" s="862"/>
      <c r="CZ21" s="862"/>
      <c r="DA21" s="862"/>
      <c r="DB21" s="862"/>
      <c r="DC21" s="862"/>
      <c r="DD21" s="862"/>
      <c r="DE21" s="862"/>
      <c r="DF21" s="862"/>
      <c r="DG21" s="862"/>
      <c r="DH21" s="862"/>
      <c r="DI21" s="862"/>
      <c r="DJ21" s="862"/>
      <c r="DK21" s="862"/>
      <c r="DL21" s="862"/>
      <c r="DM21" s="862"/>
      <c r="DN21" s="862"/>
      <c r="DO21" s="862"/>
      <c r="DP21" s="862"/>
      <c r="DQ21" s="862"/>
      <c r="DR21" s="862"/>
      <c r="DS21" s="862"/>
      <c r="DT21" s="862"/>
      <c r="DU21" s="862"/>
      <c r="DV21" s="862"/>
      <c r="DW21" s="862"/>
      <c r="DX21" s="862"/>
      <c r="DY21" s="862"/>
      <c r="DZ21" s="862"/>
      <c r="EA21" s="862"/>
      <c r="EB21" s="862"/>
      <c r="EC21" s="862"/>
      <c r="ED21" s="862"/>
      <c r="EE21" s="862"/>
      <c r="EF21" s="862"/>
      <c r="EG21" s="862"/>
      <c r="EH21" s="862"/>
      <c r="EI21" s="862"/>
      <c r="EJ21" s="862"/>
      <c r="EK21" s="862"/>
      <c r="EL21" s="862"/>
      <c r="EM21" s="862"/>
      <c r="EN21" s="862"/>
      <c r="EO21" s="862"/>
      <c r="EP21" s="862"/>
      <c r="EQ21" s="862"/>
      <c r="ER21" s="862"/>
      <c r="ES21" s="862"/>
      <c r="ET21" s="862"/>
      <c r="EU21" s="862"/>
      <c r="EV21" s="862"/>
      <c r="EW21" s="862"/>
      <c r="EX21" s="862"/>
      <c r="EY21" s="862"/>
      <c r="EZ21" s="862"/>
      <c r="FA21" s="862"/>
      <c r="FB21" s="862"/>
      <c r="FC21" s="862"/>
      <c r="FD21" s="862"/>
      <c r="FE21" s="862"/>
      <c r="FF21" s="862"/>
      <c r="FG21" s="862"/>
      <c r="FH21" s="862"/>
      <c r="FI21" s="862"/>
      <c r="FJ21" s="862"/>
      <c r="FK21" s="862"/>
      <c r="FL21" s="862"/>
      <c r="FM21" s="862"/>
      <c r="FN21" s="862"/>
      <c r="FO21" s="862"/>
      <c r="FP21" s="862"/>
      <c r="FQ21" s="862"/>
      <c r="FR21" s="862"/>
      <c r="FS21" s="862"/>
      <c r="FT21" s="862"/>
      <c r="FU21" s="862"/>
      <c r="FV21" s="862"/>
      <c r="FW21" s="862"/>
      <c r="FX21" s="864"/>
      <c r="FY21" s="864"/>
      <c r="FZ21" s="864"/>
      <c r="GA21" s="864"/>
      <c r="GB21" s="864"/>
      <c r="GC21" s="845">
        <v>12</v>
      </c>
    </row>
    <row r="22" spans="1:185" s="2988" customFormat="1" ht="12.75" customHeight="1">
      <c r="A22" s="864"/>
      <c r="B22" s="864"/>
      <c r="C22" s="864"/>
      <c r="D22" s="864"/>
      <c r="E22" s="864"/>
      <c r="FX22" s="864"/>
      <c r="FY22" s="864"/>
      <c r="FZ22" s="864"/>
      <c r="GA22" s="864"/>
      <c r="GB22" s="864"/>
      <c r="GC22" s="845">
        <v>12</v>
      </c>
    </row>
    <row r="23" spans="1:185" s="2992" customFormat="1" ht="12.75" customHeight="1">
      <c r="A23" s="983"/>
      <c r="B23" s="983"/>
      <c r="C23" s="983"/>
      <c r="D23" s="983"/>
      <c r="E23" s="983"/>
      <c r="O23" s="985"/>
      <c r="P23" s="985"/>
      <c r="Q23" s="985"/>
      <c r="R23" s="985"/>
      <c r="S23" s="985"/>
      <c r="T23" s="985"/>
      <c r="U23" s="985"/>
      <c r="V23" s="985"/>
      <c r="W23" s="985"/>
      <c r="X23" s="985"/>
      <c r="Y23" s="985"/>
      <c r="Z23" s="985"/>
      <c r="AA23" s="985"/>
      <c r="AB23" s="985"/>
      <c r="AC23" s="985"/>
      <c r="AD23" s="985"/>
      <c r="AE23" s="985"/>
      <c r="AF23" s="985"/>
      <c r="AG23" s="985"/>
      <c r="AH23" s="985"/>
      <c r="AI23" s="985"/>
      <c r="AJ23" s="985"/>
      <c r="AK23" s="985"/>
      <c r="AL23" s="985"/>
      <c r="AM23" s="985"/>
      <c r="AN23" s="985"/>
      <c r="AO23" s="985"/>
      <c r="AP23" s="985"/>
      <c r="AQ23" s="985"/>
      <c r="AR23" s="985"/>
      <c r="AS23" s="985"/>
      <c r="AT23" s="985"/>
      <c r="AU23" s="985"/>
      <c r="AV23" s="985"/>
      <c r="AW23" s="985"/>
      <c r="AX23" s="985"/>
      <c r="AY23" s="985"/>
      <c r="AZ23" s="985"/>
      <c r="BA23" s="985"/>
      <c r="BB23" s="985"/>
      <c r="BC23" s="985"/>
      <c r="BD23" s="985"/>
      <c r="BE23" s="985"/>
      <c r="BF23" s="985"/>
      <c r="BG23" s="985"/>
      <c r="BH23" s="985"/>
      <c r="BI23" s="985"/>
      <c r="BJ23" s="985"/>
      <c r="BK23" s="985"/>
      <c r="BL23" s="985"/>
      <c r="BM23" s="985"/>
      <c r="BN23" s="985"/>
      <c r="BO23" s="985"/>
      <c r="BP23" s="985"/>
      <c r="BQ23" s="985"/>
      <c r="BR23" s="985"/>
      <c r="BS23" s="985"/>
      <c r="BT23" s="986"/>
      <c r="BU23" s="986"/>
      <c r="BV23" s="986"/>
      <c r="BW23" s="986"/>
      <c r="BX23" s="986"/>
      <c r="BY23" s="986"/>
      <c r="BZ23" s="986"/>
      <c r="CA23" s="986"/>
      <c r="CB23" s="986"/>
      <c r="CC23" s="986"/>
      <c r="CD23" s="986"/>
      <c r="CE23" s="986"/>
      <c r="CF23" s="986"/>
      <c r="CG23" s="986"/>
      <c r="CH23" s="986"/>
      <c r="CI23" s="986"/>
      <c r="CJ23" s="986"/>
      <c r="CK23" s="986"/>
      <c r="CL23" s="986"/>
      <c r="CM23" s="986"/>
      <c r="CN23" s="986"/>
      <c r="CO23" s="986"/>
      <c r="CP23" s="986"/>
      <c r="CQ23" s="986"/>
      <c r="CR23" s="986"/>
      <c r="CS23" s="986"/>
      <c r="CT23" s="986"/>
      <c r="CU23" s="986"/>
      <c r="CV23" s="986"/>
      <c r="CW23" s="986"/>
      <c r="CX23" s="986"/>
      <c r="CY23" s="986"/>
      <c r="CZ23" s="986"/>
      <c r="DA23" s="986"/>
      <c r="DB23" s="986"/>
      <c r="DC23" s="986"/>
      <c r="DD23" s="986"/>
      <c r="DE23" s="986"/>
      <c r="DF23" s="986"/>
      <c r="DG23" s="986"/>
      <c r="DH23" s="986"/>
      <c r="DI23" s="986"/>
      <c r="DJ23" s="986"/>
      <c r="DK23" s="986"/>
      <c r="DL23" s="986"/>
      <c r="DM23" s="986"/>
      <c r="DN23" s="986"/>
      <c r="DO23" s="986"/>
      <c r="DP23" s="986"/>
      <c r="DQ23" s="986"/>
      <c r="DR23" s="986"/>
      <c r="DS23" s="986"/>
      <c r="DT23" s="986"/>
      <c r="DU23" s="986"/>
      <c r="DV23" s="986"/>
      <c r="DW23" s="986"/>
      <c r="DX23" s="986"/>
      <c r="FX23" s="983"/>
      <c r="FY23" s="983"/>
      <c r="FZ23" s="983"/>
      <c r="GA23" s="983"/>
      <c r="GB23" s="983"/>
      <c r="GC23" s="984">
        <v>12</v>
      </c>
    </row>
    <row r="24" spans="1:185" ht="12.75" customHeight="1">
      <c r="S24" s="861"/>
      <c r="T24" s="861"/>
      <c r="U24" s="861"/>
      <c r="V24" s="861"/>
      <c r="W24" s="861"/>
      <c r="X24" s="861"/>
      <c r="Y24" s="861"/>
      <c r="Z24" s="861"/>
      <c r="AA24" s="861"/>
      <c r="AB24" s="861"/>
      <c r="FX24" s="861"/>
      <c r="FY24" s="861"/>
      <c r="FZ24" s="861"/>
      <c r="GA24" s="861"/>
      <c r="GB24" s="861"/>
      <c r="GC24" s="849">
        <v>12</v>
      </c>
    </row>
    <row r="25" spans="1:185" ht="12" hidden="1" customHeight="1">
      <c r="A25" s="849" t="s">
        <v>83</v>
      </c>
      <c r="B25" s="859">
        <v>0</v>
      </c>
      <c r="C25" s="849">
        <v>0</v>
      </c>
      <c r="D25" s="849">
        <v>0</v>
      </c>
      <c r="E25" s="849">
        <v>3</v>
      </c>
      <c r="F25" s="849">
        <v>6</v>
      </c>
      <c r="G25" s="849">
        <v>18</v>
      </c>
      <c r="H25" s="849">
        <v>27</v>
      </c>
      <c r="I25" s="849">
        <v>18</v>
      </c>
      <c r="J25" s="849">
        <v>0</v>
      </c>
      <c r="K25" s="849">
        <v>0</v>
      </c>
      <c r="L25" s="849">
        <v>0</v>
      </c>
      <c r="M25" s="849">
        <v>0</v>
      </c>
      <c r="N25" s="849">
        <v>0</v>
      </c>
      <c r="O25" s="849">
        <v>0</v>
      </c>
      <c r="P25" s="849">
        <v>0</v>
      </c>
      <c r="Q25" s="849">
        <v>0</v>
      </c>
      <c r="R25" s="849">
        <v>0</v>
      </c>
      <c r="S25" s="849">
        <v>0</v>
      </c>
      <c r="T25" s="849">
        <v>0</v>
      </c>
      <c r="U25" s="849">
        <v>0</v>
      </c>
      <c r="V25" s="849">
        <v>0</v>
      </c>
      <c r="W25" s="849">
        <v>0</v>
      </c>
      <c r="X25" s="849">
        <v>0</v>
      </c>
      <c r="Y25" s="849">
        <v>0</v>
      </c>
      <c r="Z25" s="849">
        <v>0</v>
      </c>
      <c r="AA25" s="849">
        <v>0</v>
      </c>
      <c r="AB25" s="849">
        <v>0</v>
      </c>
      <c r="AC25" s="849">
        <v>0</v>
      </c>
      <c r="AD25" s="849">
        <v>0</v>
      </c>
      <c r="AE25" s="849">
        <v>0</v>
      </c>
      <c r="AF25" s="849">
        <v>0</v>
      </c>
      <c r="AG25" s="849">
        <v>0</v>
      </c>
      <c r="AH25" s="849">
        <v>0</v>
      </c>
      <c r="AI25" s="849">
        <v>0</v>
      </c>
      <c r="AJ25" s="849">
        <v>0</v>
      </c>
      <c r="AK25" s="849">
        <v>0</v>
      </c>
      <c r="AL25" s="849">
        <v>0</v>
      </c>
      <c r="AM25" s="849">
        <v>0</v>
      </c>
      <c r="AN25" s="849">
        <v>0</v>
      </c>
      <c r="AO25" s="849">
        <v>0</v>
      </c>
      <c r="AP25" s="849">
        <v>0</v>
      </c>
      <c r="AQ25" s="849">
        <v>0</v>
      </c>
      <c r="AR25" s="849">
        <v>0</v>
      </c>
      <c r="AS25" s="849">
        <v>0</v>
      </c>
      <c r="AT25" s="849">
        <v>0</v>
      </c>
      <c r="AU25" s="849">
        <v>0</v>
      </c>
      <c r="AV25" s="849">
        <v>0</v>
      </c>
      <c r="AW25" s="849">
        <v>0</v>
      </c>
      <c r="AX25" s="849">
        <v>0</v>
      </c>
      <c r="AY25" s="849">
        <v>0</v>
      </c>
      <c r="AZ25" s="849">
        <v>0</v>
      </c>
      <c r="BA25" s="849">
        <v>0</v>
      </c>
      <c r="BB25" s="849">
        <v>0</v>
      </c>
      <c r="BC25" s="849">
        <v>0</v>
      </c>
      <c r="BD25" s="849">
        <v>0</v>
      </c>
      <c r="BE25" s="849">
        <v>0</v>
      </c>
      <c r="BF25" s="849">
        <v>0</v>
      </c>
      <c r="BG25" s="849">
        <v>0</v>
      </c>
      <c r="BH25" s="849">
        <v>0</v>
      </c>
      <c r="BI25" s="849">
        <v>0</v>
      </c>
      <c r="BJ25" s="849">
        <v>0</v>
      </c>
      <c r="BK25" s="849">
        <v>0</v>
      </c>
      <c r="BL25" s="849">
        <v>0</v>
      </c>
      <c r="BM25" s="849">
        <v>0</v>
      </c>
      <c r="BN25" s="849">
        <v>0</v>
      </c>
      <c r="BO25" s="849">
        <v>0</v>
      </c>
      <c r="BP25" s="849">
        <v>0</v>
      </c>
      <c r="BQ25" s="849">
        <v>0</v>
      </c>
      <c r="BR25" s="849">
        <v>0</v>
      </c>
      <c r="BS25" s="849">
        <v>0</v>
      </c>
      <c r="BT25" s="849">
        <v>0</v>
      </c>
      <c r="BU25" s="849">
        <v>0</v>
      </c>
      <c r="BV25" s="849">
        <v>0</v>
      </c>
      <c r="BW25" s="849">
        <v>0</v>
      </c>
      <c r="BX25" s="849">
        <v>0</v>
      </c>
      <c r="BY25" s="849">
        <v>0</v>
      </c>
      <c r="BZ25" s="849">
        <v>0</v>
      </c>
      <c r="CA25" s="849">
        <v>0</v>
      </c>
      <c r="CB25" s="849">
        <v>0</v>
      </c>
      <c r="CC25" s="849">
        <v>0</v>
      </c>
      <c r="CD25" s="849">
        <v>0</v>
      </c>
      <c r="CE25" s="849">
        <v>0</v>
      </c>
      <c r="CF25" s="849">
        <v>0</v>
      </c>
      <c r="CG25" s="849">
        <v>0</v>
      </c>
      <c r="CH25" s="849">
        <v>0</v>
      </c>
      <c r="CI25" s="849">
        <v>0</v>
      </c>
      <c r="CJ25" s="849">
        <v>0</v>
      </c>
      <c r="CK25" s="849">
        <v>0</v>
      </c>
      <c r="CL25" s="849">
        <v>0</v>
      </c>
      <c r="CM25" s="849">
        <v>0</v>
      </c>
      <c r="CN25" s="849">
        <v>0</v>
      </c>
      <c r="CO25" s="849">
        <v>0</v>
      </c>
      <c r="CP25" s="849">
        <v>0</v>
      </c>
      <c r="CQ25" s="849">
        <v>0</v>
      </c>
      <c r="CR25" s="849">
        <v>0</v>
      </c>
      <c r="CS25" s="849">
        <v>0</v>
      </c>
      <c r="CT25" s="849">
        <v>0</v>
      </c>
      <c r="CU25" s="849">
        <v>0</v>
      </c>
      <c r="CV25" s="849">
        <v>0</v>
      </c>
      <c r="CW25" s="849">
        <v>0</v>
      </c>
      <c r="CX25" s="849">
        <v>0</v>
      </c>
      <c r="CY25" s="849">
        <v>0</v>
      </c>
      <c r="CZ25" s="849">
        <v>0</v>
      </c>
      <c r="DA25" s="849">
        <v>0</v>
      </c>
      <c r="DB25" s="849">
        <v>0</v>
      </c>
      <c r="DC25" s="849">
        <v>0</v>
      </c>
      <c r="DD25" s="849">
        <v>0</v>
      </c>
      <c r="DE25" s="849">
        <v>0</v>
      </c>
      <c r="DF25" s="849">
        <v>0</v>
      </c>
      <c r="DG25" s="849">
        <v>0</v>
      </c>
      <c r="DH25" s="849">
        <v>0</v>
      </c>
      <c r="DI25" s="849">
        <v>0</v>
      </c>
      <c r="DJ25" s="849">
        <v>0</v>
      </c>
      <c r="DK25" s="849">
        <v>0</v>
      </c>
      <c r="DL25" s="849">
        <v>0</v>
      </c>
      <c r="DM25" s="849">
        <v>0</v>
      </c>
      <c r="DN25" s="849">
        <v>0</v>
      </c>
      <c r="DO25" s="849">
        <v>0</v>
      </c>
      <c r="DP25" s="849">
        <v>0</v>
      </c>
      <c r="DQ25" s="849">
        <v>0</v>
      </c>
      <c r="DR25" s="849">
        <v>0</v>
      </c>
      <c r="DS25" s="849">
        <v>0</v>
      </c>
      <c r="DT25" s="849">
        <v>0</v>
      </c>
      <c r="DU25" s="849">
        <v>0</v>
      </c>
      <c r="DV25" s="849">
        <v>0</v>
      </c>
      <c r="DW25" s="849">
        <v>0</v>
      </c>
      <c r="DX25" s="849">
        <v>0</v>
      </c>
      <c r="DY25" s="849">
        <v>0</v>
      </c>
      <c r="DZ25" s="849">
        <v>0</v>
      </c>
      <c r="EA25" s="849">
        <v>0</v>
      </c>
      <c r="EB25" s="849">
        <v>0</v>
      </c>
      <c r="EC25" s="849">
        <v>0</v>
      </c>
      <c r="ED25" s="849">
        <v>0</v>
      </c>
      <c r="EE25" s="849">
        <v>0</v>
      </c>
      <c r="EF25" s="849">
        <v>0</v>
      </c>
      <c r="EG25" s="849">
        <v>0</v>
      </c>
      <c r="EH25" s="849">
        <v>0</v>
      </c>
      <c r="EI25" s="849">
        <v>0</v>
      </c>
      <c r="EJ25" s="849">
        <v>0</v>
      </c>
      <c r="EK25" s="849">
        <v>0</v>
      </c>
      <c r="EL25" s="849">
        <v>0</v>
      </c>
      <c r="EM25" s="849">
        <v>0</v>
      </c>
      <c r="EN25" s="849">
        <v>0</v>
      </c>
      <c r="EO25" s="849">
        <v>0</v>
      </c>
      <c r="EP25" s="849">
        <v>0</v>
      </c>
      <c r="EQ25" s="849">
        <v>0</v>
      </c>
      <c r="ER25" s="849">
        <v>0</v>
      </c>
      <c r="ES25" s="849">
        <v>0</v>
      </c>
      <c r="ET25" s="849">
        <v>0</v>
      </c>
      <c r="EU25" s="849">
        <v>0</v>
      </c>
      <c r="EV25" s="849">
        <v>0</v>
      </c>
      <c r="EW25" s="849">
        <v>0</v>
      </c>
      <c r="EX25" s="849">
        <v>0</v>
      </c>
      <c r="EY25" s="849">
        <v>0</v>
      </c>
      <c r="EZ25" s="849">
        <v>0</v>
      </c>
      <c r="FA25" s="849">
        <v>0</v>
      </c>
      <c r="FB25" s="849">
        <v>0</v>
      </c>
      <c r="FC25" s="849">
        <v>0</v>
      </c>
      <c r="FD25" s="849">
        <v>0</v>
      </c>
      <c r="FE25" s="849">
        <v>0</v>
      </c>
      <c r="FF25" s="849">
        <v>0</v>
      </c>
      <c r="FG25" s="849">
        <v>0</v>
      </c>
      <c r="FH25" s="849">
        <v>0</v>
      </c>
      <c r="FI25" s="849">
        <v>0</v>
      </c>
      <c r="FJ25" s="849">
        <v>0</v>
      </c>
      <c r="FK25" s="849">
        <v>0</v>
      </c>
      <c r="FL25" s="849">
        <v>0</v>
      </c>
      <c r="FM25" s="849">
        <v>0</v>
      </c>
      <c r="FN25" s="849">
        <v>0</v>
      </c>
      <c r="FO25" s="849">
        <v>0</v>
      </c>
      <c r="FP25" s="849">
        <v>0</v>
      </c>
      <c r="FQ25" s="849">
        <v>0</v>
      </c>
      <c r="FR25" s="849">
        <v>0</v>
      </c>
      <c r="FS25" s="849">
        <v>0</v>
      </c>
      <c r="FT25" s="849">
        <v>0</v>
      </c>
      <c r="FU25" s="849">
        <v>0</v>
      </c>
      <c r="FV25" s="849">
        <v>0</v>
      </c>
      <c r="FW25" s="849">
        <v>0</v>
      </c>
      <c r="FX25" s="849">
        <v>8</v>
      </c>
      <c r="FY25" s="849">
        <v>8</v>
      </c>
      <c r="FZ25" s="849">
        <v>8</v>
      </c>
      <c r="GA25" s="849">
        <v>8</v>
      </c>
      <c r="GB25" s="849">
        <v>8</v>
      </c>
      <c r="GC25" s="849">
        <v>12</v>
      </c>
    </row>
  </sheetData>
  <sheetProtection formatColumns="0" formatRows="0" insertRows="0" deleteColumns="0" deleteRows="0" sort="0" autoFilter="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xr:uid="{00000000-0002-0000-2B00-000000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15B45B-4869-5EDF-C863-95641B478134}">
  <sheetPr>
    <tabColor theme="2" tint="-9.9978637043366805E-2"/>
  </sheetPr>
  <dimension ref="A1:S23"/>
  <sheetViews>
    <sheetView showGridLines="0" topLeftCell="C4" zoomScale="90" workbookViewId="0"/>
  </sheetViews>
  <sheetFormatPr defaultColWidth="10.59765625" defaultRowHeight="15" customHeight="1"/>
  <cols>
    <col min="1" max="1" width="9.09765625" style="2002" hidden="1" customWidth="1"/>
    <col min="2" max="2" width="9.09765625" style="2004" hidden="1" customWidth="1"/>
    <col min="3" max="3" width="4" style="2987" customWidth="1"/>
    <col min="4" max="4" width="6" style="2004" customWidth="1"/>
    <col min="5" max="5" width="36" style="2004" customWidth="1"/>
    <col min="6" max="6" width="9" style="2004" customWidth="1"/>
    <col min="7" max="7" width="42.3984375" style="2004" hidden="1" customWidth="1"/>
    <col min="8" max="8" width="40.69921875" style="2004" customWidth="1"/>
    <col min="9" max="9" width="93" style="2016" customWidth="1"/>
    <col min="10" max="17" width="10" style="2004" customWidth="1"/>
    <col min="18" max="18" width="10" style="2985" customWidth="1"/>
    <col min="19" max="19" width="10.59765625" style="2004" hidden="1"/>
  </cols>
  <sheetData>
    <row r="1" spans="1:19" s="2016" customFormat="1" ht="15" hidden="1" customHeight="1">
      <c r="C1" s="606"/>
      <c r="H1" s="351">
        <v>4</v>
      </c>
      <c r="R1" s="354"/>
      <c r="S1" s="351" t="s">
        <v>14</v>
      </c>
    </row>
    <row r="2" spans="1:19" ht="22.5" hidden="1" customHeight="1">
      <c r="C2" s="1839" t="s">
        <v>105</v>
      </c>
      <c r="D2" s="473"/>
      <c r="E2" s="597"/>
      <c r="F2" s="1677" t="str">
        <f>IF(TEMPLATE_SPHERE="HEAT","Гкал/час","тыс. куб. м/сутки")</f>
        <v>Гкал/час</v>
      </c>
      <c r="G2" s="614"/>
      <c r="H2" s="614"/>
      <c r="I2" s="224"/>
      <c r="S2" s="439">
        <v>0</v>
      </c>
    </row>
    <row r="3" spans="1:19" s="2016" customFormat="1" ht="15" hidden="1" customHeight="1">
      <c r="C3" s="606"/>
      <c r="R3" s="354"/>
      <c r="S3" s="351">
        <v>0</v>
      </c>
    </row>
    <row r="4" spans="1:19" ht="15.75" customHeight="1">
      <c r="C4" s="111"/>
      <c r="D4" s="443"/>
      <c r="E4" s="443"/>
      <c r="F4" s="443"/>
      <c r="G4" s="443"/>
      <c r="H4" s="443"/>
      <c r="S4" s="439">
        <v>15</v>
      </c>
    </row>
    <row r="5" spans="1:19" ht="39.75" customHeight="1">
      <c r="C5" s="111"/>
      <c r="D5" s="3183"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3183"/>
      <c r="F5" s="3183"/>
      <c r="G5" s="3183"/>
      <c r="H5" s="3183"/>
      <c r="I5" s="471"/>
      <c r="S5" s="439">
        <v>38</v>
      </c>
    </row>
    <row r="6" spans="1:19" ht="15.75" customHeight="1">
      <c r="C6" s="111"/>
      <c r="D6" s="3131" t="str">
        <f>IF(org=0,"Не определено",org)</f>
        <v>ООО "РСО"</v>
      </c>
      <c r="E6" s="3131"/>
      <c r="F6" s="3131"/>
      <c r="G6" s="3131"/>
      <c r="H6" s="3131"/>
      <c r="I6" s="471"/>
      <c r="S6" s="439">
        <v>15</v>
      </c>
    </row>
    <row r="7" spans="1:19" s="2004" customFormat="1" ht="15.75" customHeight="1">
      <c r="A7" s="691"/>
      <c r="C7" s="111"/>
      <c r="D7" s="610"/>
      <c r="E7" s="610"/>
      <c r="F7" s="610"/>
      <c r="G7" s="610"/>
      <c r="H7" s="686"/>
      <c r="I7" s="471"/>
      <c r="R7" s="609"/>
      <c r="S7" s="690">
        <v>15</v>
      </c>
    </row>
    <row r="8" spans="1:19" ht="1" customHeight="1">
      <c r="C8" s="111"/>
      <c r="D8" s="443"/>
      <c r="E8" s="443"/>
      <c r="F8" s="443"/>
      <c r="G8" s="443"/>
      <c r="H8" s="471" t="s">
        <v>131</v>
      </c>
      <c r="S8" s="439">
        <v>1</v>
      </c>
    </row>
    <row r="9" spans="1:19" ht="15.75" customHeight="1">
      <c r="C9" s="111"/>
      <c r="D9" s="645"/>
      <c r="E9" s="3282" t="s">
        <v>120</v>
      </c>
      <c r="F9" s="3283"/>
      <c r="G9" s="744" t="str">
        <f>IF(G8="","",INDEX(DIFFERENTIATION_UNMERGE_VD,MATCH(G8,DIFFERENTIATION_ID_DIFF,0)))</f>
        <v/>
      </c>
      <c r="H9" s="744">
        <f>IF(H8="","",INDEX(DIFFERENTIATION_UNMERGE_VD,MATCH(H8,DIFFERENTIATION_ID_DIFF,0)))</f>
        <v>0</v>
      </c>
      <c r="I9" s="3067" t="s">
        <v>336</v>
      </c>
      <c r="S9" s="439">
        <v>15</v>
      </c>
    </row>
    <row r="10" spans="1:19" s="2004" customFormat="1" ht="15.75" customHeight="1">
      <c r="A10" s="691"/>
      <c r="C10" s="111"/>
      <c r="D10" s="645"/>
      <c r="E10" s="3282" t="s">
        <v>597</v>
      </c>
      <c r="F10" s="3283"/>
      <c r="G10" s="744" t="str">
        <f>IF(G8="","",INDEX(DIFFERENTIATION_UNMERGE_AREA,MATCH(G8,DIFFERENTIATION_ID_DIFF,0)))</f>
        <v/>
      </c>
      <c r="H10" s="744" t="str">
        <f>IF(H8="","",INDEX(DIFFERENTIATION_UNMERGE_AREA,MATCH(H8,DIFFERENTIATION_ID_DIFF,0)))</f>
        <v/>
      </c>
      <c r="I10" s="3067"/>
      <c r="R10" s="609"/>
      <c r="S10" s="690">
        <v>15</v>
      </c>
    </row>
    <row r="11" spans="1:19" s="2004" customFormat="1" ht="15.75" customHeight="1">
      <c r="A11" s="691"/>
      <c r="C11" s="111"/>
      <c r="D11" s="645"/>
      <c r="E11" s="3282" t="s">
        <v>598</v>
      </c>
      <c r="F11" s="3283"/>
      <c r="G11" s="744" t="str">
        <f>IF(G8="","",INDEX(DIFFERENTIATION_UNMERGE_SYSTEM,MATCH(G8,DIFFERENTIATION_ID_DIFF,0)))</f>
        <v/>
      </c>
      <c r="H11" s="744" t="str">
        <f>IF(H8="","",INDEX(DIFFERENTIATION_UNMERGE_SYSTEM,MATCH(H8,DIFFERENTIATION_ID_DIFF,0)))</f>
        <v>без дифференциации</v>
      </c>
      <c r="I11" s="3067"/>
      <c r="R11" s="609"/>
      <c r="S11" s="690">
        <v>15</v>
      </c>
    </row>
    <row r="12" spans="1:19" s="2004" customFormat="1" ht="15.75" customHeight="1">
      <c r="A12" s="691"/>
      <c r="C12" s="111"/>
      <c r="D12" s="3284" t="s">
        <v>335</v>
      </c>
      <c r="E12" s="3285"/>
      <c r="F12" s="3285"/>
      <c r="G12" s="810"/>
      <c r="H12" s="810"/>
      <c r="I12" s="3067"/>
      <c r="R12" s="609"/>
      <c r="S12" s="690">
        <v>15</v>
      </c>
    </row>
    <row r="13" spans="1:19" ht="35.65" customHeight="1">
      <c r="C13" s="111"/>
      <c r="D13" s="693" t="s">
        <v>89</v>
      </c>
      <c r="E13" s="692" t="s">
        <v>337</v>
      </c>
      <c r="F13" s="692" t="s">
        <v>599</v>
      </c>
      <c r="G13" s="736" t="s">
        <v>338</v>
      </c>
      <c r="H13" s="688" t="s">
        <v>338</v>
      </c>
      <c r="I13" s="3067"/>
      <c r="S13" s="439">
        <v>34</v>
      </c>
    </row>
    <row r="14" spans="1:19" ht="15" hidden="1" customHeight="1">
      <c r="C14" s="111"/>
      <c r="D14" s="527" t="s">
        <v>124</v>
      </c>
      <c r="E14" s="527" t="s">
        <v>104</v>
      </c>
      <c r="F14" s="527" t="s">
        <v>91</v>
      </c>
      <c r="G14" s="593" t="str">
        <f>G1&amp;".1"</f>
        <v>.1</v>
      </c>
      <c r="H14" s="593" t="str">
        <f>H1&amp;".1"</f>
        <v>4.1</v>
      </c>
      <c r="I14" s="224"/>
      <c r="S14" s="439">
        <v>0</v>
      </c>
    </row>
    <row r="15" spans="1:19" ht="15.75" customHeight="1">
      <c r="A15" s="439"/>
      <c r="C15" s="460"/>
      <c r="D15" s="455">
        <v>1</v>
      </c>
      <c r="E15" s="1841" t="str">
        <f>TP_P_A</f>
        <v>Количество поданных заявок</v>
      </c>
      <c r="F15" s="455" t="s">
        <v>1147</v>
      </c>
      <c r="G15" s="619"/>
      <c r="H15" s="619"/>
      <c r="I15" s="143"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439">
        <v>15</v>
      </c>
    </row>
    <row r="16" spans="1:19" ht="15.75" customHeight="1">
      <c r="A16" s="439"/>
      <c r="C16" s="460"/>
      <c r="D16" s="455">
        <v>2</v>
      </c>
      <c r="E16" s="1841" t="str">
        <f>TP_P_B</f>
        <v>Количество рассмотренных заявок</v>
      </c>
      <c r="F16" s="455" t="s">
        <v>1147</v>
      </c>
      <c r="G16" s="619"/>
      <c r="H16" s="619"/>
      <c r="I16" s="143"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439">
        <v>15</v>
      </c>
    </row>
    <row r="17" spans="1:19" ht="77.75" customHeight="1">
      <c r="A17" s="439"/>
      <c r="C17" s="460"/>
      <c r="D17" s="455">
        <v>3</v>
      </c>
      <c r="E17" s="1841"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455" t="s">
        <v>1147</v>
      </c>
      <c r="G17" s="619"/>
      <c r="H17" s="619"/>
      <c r="I17" s="143" t="str">
        <f>TP_P_NOTE_V</f>
        <v>Указывается количество заявок с решением об отказе в течение отчетного квартала.</v>
      </c>
      <c r="S17" s="439">
        <v>74</v>
      </c>
    </row>
    <row r="18" spans="1:19" ht="54.75" customHeight="1">
      <c r="A18" s="439"/>
      <c r="C18" s="460"/>
      <c r="D18" s="455">
        <v>4</v>
      </c>
      <c r="E18" s="1841" t="str">
        <f>TP_P_V_1</f>
        <v>Причины отказа в заключении договора о подключении (технологическом присоединении) к системе теплоснабжения</v>
      </c>
      <c r="F18" s="455" t="s">
        <v>341</v>
      </c>
      <c r="G18" s="620"/>
      <c r="H18" s="620"/>
      <c r="I18" s="766" t="str">
        <f>TP_P_NOTE_V_1</f>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S18" s="439">
        <v>52</v>
      </c>
    </row>
    <row r="19" spans="1:19" ht="60" customHeight="1">
      <c r="A19" s="439"/>
      <c r="C19" s="460"/>
      <c r="D19" s="455">
        <v>5</v>
      </c>
      <c r="E19" s="1841" t="str">
        <f>TP_P_G</f>
        <v>Резерв мощности источников тепловой энергии, входящих в систему теплоснабжения, в течение одного квартала, в том числе:</v>
      </c>
      <c r="F19" s="455" t="str">
        <f>IF(TEMPLATE_SPHERE="HEAT","Гкал/час","тыс. куб. м/сутки")</f>
        <v>Гкал/час</v>
      </c>
      <c r="G19" s="621">
        <f>SUM(G20:G22)</f>
        <v>0</v>
      </c>
      <c r="H19" s="621">
        <f>SUM(H20:H22)</f>
        <v>0</v>
      </c>
      <c r="I19" s="143" t="str">
        <f>TP_P_NOTE_G</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439">
        <v>57</v>
      </c>
    </row>
    <row r="20" spans="1:19" ht="15" hidden="1" customHeight="1">
      <c r="D20" s="443" t="s">
        <v>1148</v>
      </c>
      <c r="E20" s="622"/>
      <c r="F20" s="443"/>
      <c r="G20" s="443"/>
      <c r="H20" s="443"/>
      <c r="I20" s="1679"/>
      <c r="S20" s="439">
        <v>0</v>
      </c>
    </row>
    <row r="21" spans="1:19" ht="29.25" customHeight="1">
      <c r="C21" s="385"/>
      <c r="D21" s="473" t="s">
        <v>348</v>
      </c>
      <c r="E21" s="604"/>
      <c r="F21" s="1677" t="str">
        <f>IF(TEMPLATE_SPHERE="HEAT","Гкал/час","тыс. куб. м/сутки")</f>
        <v>Гкал/час</v>
      </c>
      <c r="G21" s="614"/>
      <c r="H21" s="614"/>
      <c r="I21" s="3124" t="str">
        <f>TP_P_NOTE_G_1</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439">
        <v>28</v>
      </c>
    </row>
    <row r="22" spans="1:19" ht="15.75" customHeight="1">
      <c r="A22" s="439"/>
      <c r="C22" s="439"/>
      <c r="D22" s="282"/>
      <c r="E22" s="514" t="s">
        <v>1149</v>
      </c>
      <c r="F22" s="506"/>
      <c r="G22" s="506"/>
      <c r="H22" s="506"/>
      <c r="I22" s="3126"/>
      <c r="R22" s="439"/>
      <c r="S22" s="439">
        <v>15</v>
      </c>
    </row>
    <row r="23" spans="1:19" ht="22.5" hidden="1" customHeight="1">
      <c r="A23" s="383" t="s">
        <v>83</v>
      </c>
      <c r="B23" s="439">
        <v>0</v>
      </c>
      <c r="C23" s="617">
        <v>4</v>
      </c>
      <c r="D23" s="439">
        <v>6</v>
      </c>
      <c r="E23" s="439">
        <v>36</v>
      </c>
      <c r="F23" s="439">
        <v>9</v>
      </c>
      <c r="G23" s="690">
        <v>0</v>
      </c>
      <c r="H23" s="439">
        <v>40</v>
      </c>
      <c r="I23" s="351">
        <v>93</v>
      </c>
      <c r="J23" s="439">
        <v>10</v>
      </c>
      <c r="K23" s="439">
        <v>10</v>
      </c>
      <c r="L23" s="439">
        <v>10</v>
      </c>
      <c r="M23" s="439">
        <v>10</v>
      </c>
      <c r="N23" s="439">
        <v>10</v>
      </c>
      <c r="O23" s="439">
        <v>10</v>
      </c>
      <c r="P23" s="439">
        <v>10</v>
      </c>
      <c r="Q23" s="439">
        <v>10</v>
      </c>
      <c r="R23" s="609">
        <v>10</v>
      </c>
      <c r="S23" s="439">
        <v>23</v>
      </c>
    </row>
  </sheetData>
  <sheetProtection formatColumns="0" formatRows="0" insertRows="0" deleteColumns="0" deleteRows="0" sort="0" autoFilter="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xr:uid="{00000000-0002-0000-2C00-000000000000}"/>
    <dataValidation type="textLength" operator="lessThanOrEqual" allowBlank="1" showInputMessage="1" showErrorMessage="1" errorTitle="Ошибка" error="Допускается ввод не более 900 символов!" sqref="E21 E2 G18:H18" xr:uid="{00000000-0002-0000-2C00-000001000000}">
      <formula1>900</formula1>
    </dataValidation>
    <dataValidation type="whole" allowBlank="1" showErrorMessage="1" errorTitle="Ошибка" error="Допускается ввод только неотрицательных целых чисел!" sqref="G15:H17" xr:uid="{00000000-0002-0000-2C00-000002000000}">
      <formula1>0</formula1>
      <formula2>9.99999999999999E+23</formula2>
    </dataValidation>
    <dataValidation type="decimal" allowBlank="1" showErrorMessage="1" errorTitle="Ошибка" error="Допускается ввод только действительных чисел!" sqref="G2:H2 G21:H21" xr:uid="{00000000-0002-0000-2C00-000003000000}">
      <formula1>-9.99999999999999E+23</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60B23-B3EA-FA9A-8489-18EFE355DF52}">
  <sheetPr>
    <tabColor theme="6" tint="0.39997558519241921"/>
    <pageSetUpPr fitToPage="1"/>
  </sheetPr>
  <dimension ref="A1:Q32"/>
  <sheetViews>
    <sheetView showGridLines="0" topLeftCell="C4" zoomScale="90" workbookViewId="0"/>
  </sheetViews>
  <sheetFormatPr defaultColWidth="10.59765625" defaultRowHeight="14.25" customHeight="1"/>
  <cols>
    <col min="1" max="1" width="9.09765625" style="2217" hidden="1" customWidth="1"/>
    <col min="2" max="2" width="9.09765625" style="2016" hidden="1" customWidth="1"/>
    <col min="3" max="3" width="3" style="2215" customWidth="1"/>
    <col min="4" max="4" width="6" style="2004" customWidth="1"/>
    <col min="5" max="6" width="64" style="2004" customWidth="1"/>
    <col min="7" max="7" width="140" style="2004" customWidth="1"/>
    <col min="8" max="8" width="10" style="2004" customWidth="1"/>
    <col min="9" max="10" width="10" style="2022" customWidth="1"/>
    <col min="11" max="16" width="10" style="2004" customWidth="1"/>
    <col min="17" max="17" width="10.59765625" style="2004" hidden="1"/>
  </cols>
  <sheetData>
    <row r="1" spans="1:17" ht="22.5" hidden="1" customHeight="1">
      <c r="M1" s="190"/>
      <c r="N1" s="190"/>
      <c r="P1" s="190"/>
      <c r="Q1" s="21" t="s">
        <v>14</v>
      </c>
    </row>
    <row r="2" spans="1:17" ht="14.25" hidden="1" customHeight="1">
      <c r="Q2" s="21">
        <v>0</v>
      </c>
    </row>
    <row r="3" spans="1:17" ht="14.25" hidden="1" customHeight="1">
      <c r="Q3" s="21">
        <v>0</v>
      </c>
    </row>
    <row r="4" spans="1:17" ht="3" customHeight="1">
      <c r="C4" s="34"/>
      <c r="D4" s="22"/>
      <c r="E4" s="22"/>
      <c r="F4" s="23"/>
      <c r="G4" s="23"/>
      <c r="Q4" s="21">
        <v>3</v>
      </c>
    </row>
    <row r="5" spans="1:17" ht="29.25" customHeight="1">
      <c r="C5" s="34"/>
      <c r="D5" s="3111"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3112"/>
      <c r="F5" s="3112"/>
      <c r="G5" s="3113"/>
      <c r="Q5" s="21">
        <v>28</v>
      </c>
    </row>
    <row r="6" spans="1:17" s="2004" customFormat="1" ht="18.75" customHeight="1">
      <c r="A6" s="805"/>
      <c r="B6" s="351"/>
      <c r="C6" s="310"/>
      <c r="D6" s="3164" t="str">
        <f>IF(org=0,"Не определено",org)</f>
        <v>ООО "РСО"</v>
      </c>
      <c r="E6" s="3165"/>
      <c r="F6" s="3165"/>
      <c r="G6" s="3166"/>
      <c r="I6" s="434"/>
      <c r="J6" s="434"/>
      <c r="Q6" s="690">
        <v>18</v>
      </c>
    </row>
    <row r="7" spans="1:17" ht="14.65" customHeight="1">
      <c r="C7" s="34"/>
      <c r="D7" s="22"/>
      <c r="E7" s="33"/>
      <c r="F7" s="686"/>
      <c r="G7" s="128"/>
      <c r="Q7" s="21">
        <v>14</v>
      </c>
    </row>
    <row r="8" spans="1:17" s="2004" customFormat="1" ht="1" customHeight="1">
      <c r="A8" s="1586"/>
      <c r="B8" s="1077"/>
      <c r="C8" s="310"/>
      <c r="D8" s="297"/>
      <c r="E8" s="323"/>
      <c r="F8" s="686"/>
      <c r="G8" s="128"/>
      <c r="I8" s="1541"/>
      <c r="J8" s="1541"/>
      <c r="Q8" s="1548">
        <v>1</v>
      </c>
    </row>
    <row r="9" spans="1:17" ht="14.65" customHeight="1">
      <c r="C9" s="34"/>
      <c r="D9" s="3159" t="s">
        <v>335</v>
      </c>
      <c r="E9" s="3159"/>
      <c r="F9" s="3159"/>
      <c r="G9" s="3301" t="s">
        <v>336</v>
      </c>
      <c r="Q9" s="21">
        <v>14</v>
      </c>
    </row>
    <row r="10" spans="1:17" ht="24" customHeight="1">
      <c r="C10" s="34"/>
      <c r="D10" s="43" t="s">
        <v>89</v>
      </c>
      <c r="E10" s="46" t="s">
        <v>337</v>
      </c>
      <c r="F10" s="46" t="s">
        <v>425</v>
      </c>
      <c r="G10" s="3301"/>
      <c r="Q10" s="21">
        <v>23</v>
      </c>
    </row>
    <row r="11" spans="1:17" ht="12" hidden="1" customHeight="1">
      <c r="C11" s="34"/>
      <c r="D11" s="25"/>
      <c r="E11" s="25"/>
      <c r="F11" s="25"/>
      <c r="G11" s="25"/>
      <c r="Q11" s="21">
        <v>0</v>
      </c>
    </row>
    <row r="12" spans="1:17" ht="65.25" customHeight="1">
      <c r="A12" s="127"/>
      <c r="C12" s="34"/>
      <c r="D12" s="83">
        <v>1</v>
      </c>
      <c r="E12" s="132"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33" t="s">
        <v>341</v>
      </c>
      <c r="G12" s="87"/>
      <c r="Q12" s="21">
        <v>62</v>
      </c>
    </row>
    <row r="13" spans="1:17" ht="24" customHeight="1">
      <c r="A13" s="127"/>
      <c r="C13" s="34"/>
      <c r="D13" s="83" t="s">
        <v>1054</v>
      </c>
      <c r="E13" s="129"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33" t="s">
        <v>341</v>
      </c>
      <c r="G13" s="87"/>
      <c r="Q13" s="21">
        <v>23</v>
      </c>
    </row>
    <row r="14" spans="1:17" ht="14.65" customHeight="1">
      <c r="A14" s="127"/>
      <c r="C14" s="34"/>
      <c r="D14" s="83" t="s">
        <v>1090</v>
      </c>
      <c r="E14" s="130"/>
      <c r="F14" s="148"/>
      <c r="G14" s="3124"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21">
        <v>14</v>
      </c>
    </row>
    <row r="15" spans="1:17" ht="15.75" customHeight="1">
      <c r="A15" s="127"/>
      <c r="C15" s="34"/>
      <c r="D15" s="47"/>
      <c r="E15" s="283" t="s">
        <v>1150</v>
      </c>
      <c r="F15" s="136"/>
      <c r="G15" s="3126"/>
      <c r="Q15" s="21">
        <v>15</v>
      </c>
    </row>
    <row r="16" spans="1:17" ht="14.65" customHeight="1">
      <c r="A16" s="127"/>
      <c r="C16" s="34"/>
      <c r="D16" s="83" t="s">
        <v>1056</v>
      </c>
      <c r="E16" s="129"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33" t="s">
        <v>341</v>
      </c>
      <c r="G16" s="272"/>
      <c r="Q16" s="21">
        <v>14</v>
      </c>
    </row>
    <row r="17" spans="1:17" ht="14.65" customHeight="1">
      <c r="A17" s="127"/>
      <c r="C17" s="34"/>
      <c r="D17" s="83" t="s">
        <v>1098</v>
      </c>
      <c r="E17" s="130"/>
      <c r="F17" s="319"/>
      <c r="G17" s="3124"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21">
        <v>14</v>
      </c>
    </row>
    <row r="18" spans="1:17" s="2004" customFormat="1" ht="22" customHeight="1">
      <c r="A18" s="278"/>
      <c r="B18" s="82"/>
      <c r="C18" s="242"/>
      <c r="D18" s="282"/>
      <c r="E18" s="283" t="s">
        <v>1151</v>
      </c>
      <c r="F18" s="273"/>
      <c r="G18" s="3126"/>
      <c r="I18" s="284"/>
      <c r="J18" s="284"/>
      <c r="Q18" s="277">
        <v>21</v>
      </c>
    </row>
    <row r="19" spans="1:17" s="2004" customFormat="1" ht="256.5" hidden="1" customHeight="1">
      <c r="A19" s="278"/>
      <c r="B19" s="351"/>
      <c r="C19" s="310"/>
      <c r="D19" s="807" t="s">
        <v>1058</v>
      </c>
      <c r="E19" s="806" t="s">
        <v>1152</v>
      </c>
      <c r="F19" s="319"/>
      <c r="G19" s="272" t="s">
        <v>1153</v>
      </c>
      <c r="I19" s="434"/>
      <c r="J19" s="434"/>
      <c r="Q19" s="690">
        <v>0</v>
      </c>
    </row>
    <row r="20" spans="1:17" s="2004" customFormat="1" ht="14.65" customHeight="1">
      <c r="A20" s="278"/>
      <c r="B20" s="82"/>
      <c r="C20" s="242"/>
      <c r="D20" s="808">
        <v>2</v>
      </c>
      <c r="E20" s="265" t="s">
        <v>1154</v>
      </c>
      <c r="F20" s="133" t="s">
        <v>341</v>
      </c>
      <c r="G20" s="272"/>
      <c r="I20" s="284"/>
      <c r="J20" s="284"/>
      <c r="Q20" s="277">
        <v>14</v>
      </c>
    </row>
    <row r="21" spans="1:17" s="2004" customFormat="1" ht="18.75" hidden="1" customHeight="1">
      <c r="A21" s="278"/>
      <c r="B21" s="82"/>
      <c r="C21" s="242"/>
      <c r="D21" s="268" t="s">
        <v>669</v>
      </c>
      <c r="E21" s="267"/>
      <c r="F21" s="266"/>
      <c r="G21" s="276"/>
      <c r="H21" s="269"/>
      <c r="I21" s="284"/>
      <c r="J21" s="284"/>
      <c r="Q21" s="277">
        <v>0</v>
      </c>
    </row>
    <row r="22" spans="1:17" ht="15.75" customHeight="1">
      <c r="A22" s="127"/>
      <c r="C22" s="34"/>
      <c r="D22" s="47"/>
      <c r="E22" s="138" t="s">
        <v>357</v>
      </c>
      <c r="F22" s="273"/>
      <c r="G22" s="274"/>
      <c r="Q22" s="21">
        <v>15</v>
      </c>
    </row>
    <row r="23" spans="1:17" s="2004" customFormat="1" ht="22.5" hidden="1" customHeight="1">
      <c r="A23" s="278"/>
      <c r="B23" s="1077"/>
      <c r="C23" s="310"/>
      <c r="D23" s="1590" t="s">
        <v>104</v>
      </c>
      <c r="E23" s="132" t="s">
        <v>1155</v>
      </c>
      <c r="F23" s="1587" t="s">
        <v>341</v>
      </c>
      <c r="G23" s="280"/>
      <c r="I23" s="1541"/>
      <c r="J23" s="1541"/>
      <c r="Q23" s="1548">
        <v>0</v>
      </c>
    </row>
    <row r="24" spans="1:17" s="2004" customFormat="1" ht="14.25" hidden="1" customHeight="1">
      <c r="A24" s="278"/>
      <c r="B24" s="1077"/>
      <c r="C24" s="310"/>
      <c r="D24" s="1590" t="s">
        <v>741</v>
      </c>
      <c r="E24" s="1589" t="s">
        <v>1156</v>
      </c>
      <c r="F24" s="1587" t="s">
        <v>341</v>
      </c>
      <c r="G24" s="272"/>
      <c r="I24" s="1541"/>
      <c r="J24" s="1541"/>
      <c r="Q24" s="1548">
        <v>0</v>
      </c>
    </row>
    <row r="25" spans="1:17" s="2004" customFormat="1" ht="14.25" hidden="1" customHeight="1">
      <c r="A25" s="278"/>
      <c r="B25" s="1077"/>
      <c r="C25" s="310"/>
      <c r="D25" s="1590" t="s">
        <v>744</v>
      </c>
      <c r="E25" s="130"/>
      <c r="F25" s="319"/>
      <c r="G25" s="3124" t="s">
        <v>1157</v>
      </c>
      <c r="I25" s="1541"/>
      <c r="J25" s="1541"/>
      <c r="Q25" s="1548">
        <v>0</v>
      </c>
    </row>
    <row r="26" spans="1:17" s="2004" customFormat="1" ht="22.5" hidden="1" customHeight="1">
      <c r="A26" s="278"/>
      <c r="B26" s="1077"/>
      <c r="C26" s="310"/>
      <c r="D26" s="282"/>
      <c r="E26" s="283" t="s">
        <v>1158</v>
      </c>
      <c r="F26" s="273"/>
      <c r="G26" s="3126"/>
      <c r="I26" s="1541"/>
      <c r="J26" s="1541"/>
      <c r="Q26" s="1548">
        <v>0</v>
      </c>
    </row>
    <row r="27" spans="1:17" ht="3" customHeight="1">
      <c r="Q27" s="21">
        <v>3</v>
      </c>
    </row>
    <row r="28" spans="1:17" ht="14.65" customHeight="1">
      <c r="D28" s="271"/>
      <c r="E28" s="270"/>
      <c r="F28" s="250"/>
      <c r="G28" s="250"/>
      <c r="H28" s="250"/>
      <c r="I28" s="250"/>
      <c r="J28" s="250"/>
      <c r="K28" s="250"/>
      <c r="L28" s="250"/>
      <c r="M28" s="250"/>
      <c r="N28" s="250"/>
      <c r="O28" s="250"/>
      <c r="P28" s="250"/>
      <c r="Q28" s="21">
        <v>14</v>
      </c>
    </row>
    <row r="29" spans="1:17" ht="14.65" customHeight="1">
      <c r="D29" s="271"/>
      <c r="E29" s="516"/>
      <c r="Q29" s="21">
        <v>14</v>
      </c>
    </row>
    <row r="30" spans="1:17" ht="14.65" customHeight="1">
      <c r="Q30" s="21">
        <v>14</v>
      </c>
    </row>
    <row r="31" spans="1:17" ht="14.65" customHeight="1">
      <c r="E31" s="690"/>
      <c r="Q31" s="21">
        <v>14</v>
      </c>
    </row>
    <row r="32" spans="1:17" ht="22.5" hidden="1" customHeight="1">
      <c r="A32" s="39" t="s">
        <v>83</v>
      </c>
      <c r="B32" s="82">
        <v>0</v>
      </c>
      <c r="C32" s="35">
        <v>3</v>
      </c>
      <c r="D32" s="21">
        <v>6</v>
      </c>
      <c r="E32" s="21">
        <v>64</v>
      </c>
      <c r="F32" s="21">
        <v>64</v>
      </c>
      <c r="G32" s="21">
        <v>140</v>
      </c>
      <c r="H32" s="21">
        <v>10</v>
      </c>
      <c r="I32" s="91">
        <v>10</v>
      </c>
      <c r="J32" s="91">
        <v>10</v>
      </c>
      <c r="K32" s="21">
        <v>10</v>
      </c>
      <c r="L32" s="21">
        <v>10</v>
      </c>
      <c r="M32" s="21">
        <v>10</v>
      </c>
      <c r="N32" s="21">
        <v>10</v>
      </c>
      <c r="O32" s="21">
        <v>10</v>
      </c>
      <c r="P32" s="21">
        <v>10</v>
      </c>
      <c r="Q32" s="21">
        <v>23</v>
      </c>
    </row>
  </sheetData>
  <sheetProtection formatColumns="0" formatRows="0" insertRows="0" deleteColumns="0" deleteRows="0" sort="0" autoFilter="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xr:uid="{00000000-0002-0000-2D00-000000000000}">
      <formula1>900</formula1>
    </dataValidation>
    <dataValidation type="textLength" operator="lessThanOrEqual" allowBlank="1" showInputMessage="1" showErrorMessage="1" errorTitle="Ошибка" error="Допускается ввод не более 900 символов!" sqref="G14 G25 E17 E14 G17 G21 E25" xr:uid="{00000000-0002-0000-2D00-000001000000}">
      <formula1>900</formula1>
    </dataValidation>
  </dataValidations>
  <printOptions horizontalCentered="1" verticalCentered="1"/>
  <pageMargins left="0" right="0" top="0" bottom="0" header="0" footer="0.79"/>
  <pageSetup paperSize="9" scale="41" fitToHeight="0"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3C2516-9D94-A73A-5F44-9287F5CF6AB7}">
  <sheetPr>
    <tabColor theme="6" tint="0.39997558519241921"/>
  </sheetPr>
  <dimension ref="A1:M43"/>
  <sheetViews>
    <sheetView showGridLines="0" topLeftCell="C13" zoomScale="90" workbookViewId="0"/>
  </sheetViews>
  <sheetFormatPr defaultColWidth="10.59765625" defaultRowHeight="14.25" customHeight="1"/>
  <cols>
    <col min="1" max="1" width="9.09765625" style="2006" hidden="1" customWidth="1"/>
    <col min="2" max="2" width="9.09765625" style="2016" hidden="1" customWidth="1"/>
    <col min="3" max="3" width="3" style="2215" customWidth="1"/>
    <col min="4" max="4" width="6" style="2004" customWidth="1"/>
    <col min="5" max="5" width="63" style="2004" customWidth="1"/>
    <col min="6" max="6" width="1.69921875" style="2004" hidden="1" customWidth="1"/>
    <col min="7" max="8" width="35" style="2004" customWidth="1"/>
    <col min="9" max="9" width="91" style="2004" customWidth="1"/>
    <col min="10" max="10" width="68" style="2004" customWidth="1"/>
    <col min="11" max="12" width="10" style="2022" customWidth="1"/>
    <col min="13" max="13" width="10.59765625" style="2004" hidden="1"/>
  </cols>
  <sheetData>
    <row r="1" spans="1:13" ht="22.5" hidden="1" customHeight="1">
      <c r="M1" s="21" t="s">
        <v>14</v>
      </c>
    </row>
    <row r="2" spans="1:13" s="2004" customFormat="1" ht="18.75" hidden="1" customHeight="1">
      <c r="A2" s="1600"/>
      <c r="B2" s="1077"/>
      <c r="C2" s="1646" t="s">
        <v>105</v>
      </c>
      <c r="D2" s="1590"/>
      <c r="E2" s="134"/>
      <c r="F2" s="1587"/>
      <c r="G2" s="1587" t="s">
        <v>341</v>
      </c>
      <c r="H2" s="1078"/>
      <c r="K2" s="1541"/>
      <c r="L2" s="1541"/>
      <c r="M2" s="1548">
        <v>0</v>
      </c>
    </row>
    <row r="3" spans="1:13" s="2004" customFormat="1" ht="14.25" hidden="1" customHeight="1">
      <c r="A3" s="1279"/>
      <c r="B3" s="1077"/>
      <c r="C3" s="279"/>
      <c r="K3" s="1541"/>
      <c r="L3" s="1541"/>
      <c r="M3" s="1548">
        <v>0</v>
      </c>
    </row>
    <row r="4" spans="1:13" s="2004" customFormat="1" ht="18.75" hidden="1" customHeight="1">
      <c r="A4" s="1600"/>
      <c r="B4" s="1077"/>
      <c r="C4" s="1646" t="s">
        <v>105</v>
      </c>
      <c r="D4" s="1590"/>
      <c r="E4" s="140" t="s">
        <v>1159</v>
      </c>
      <c r="F4" s="1587"/>
      <c r="G4" s="192"/>
      <c r="H4" s="1587" t="s">
        <v>341</v>
      </c>
      <c r="K4" s="1541"/>
      <c r="L4" s="1541"/>
      <c r="M4" s="1548">
        <v>0</v>
      </c>
    </row>
    <row r="5" spans="1:13" s="2004" customFormat="1" ht="14.25" hidden="1" customHeight="1">
      <c r="A5" s="1279"/>
      <c r="B5" s="1077"/>
      <c r="C5" s="279"/>
      <c r="K5" s="1541"/>
      <c r="L5" s="1541"/>
      <c r="M5" s="1548">
        <v>0</v>
      </c>
    </row>
    <row r="6" spans="1:13" s="2004" customFormat="1" ht="18.75" hidden="1" customHeight="1">
      <c r="A6" s="1600"/>
      <c r="B6" s="1077"/>
      <c r="C6" s="1646" t="s">
        <v>105</v>
      </c>
      <c r="D6" s="1590"/>
      <c r="E6" s="141" t="s">
        <v>1160</v>
      </c>
      <c r="F6" s="1587"/>
      <c r="G6" s="192"/>
      <c r="H6" s="1587" t="s">
        <v>341</v>
      </c>
      <c r="K6" s="1541"/>
      <c r="L6" s="1541"/>
      <c r="M6" s="1548">
        <v>0</v>
      </c>
    </row>
    <row r="7" spans="1:13" s="2004" customFormat="1" ht="14.25" hidden="1" customHeight="1">
      <c r="A7" s="1279"/>
      <c r="B7" s="1077"/>
      <c r="C7" s="279"/>
      <c r="K7" s="1541"/>
      <c r="L7" s="1541"/>
      <c r="M7" s="1548">
        <v>0</v>
      </c>
    </row>
    <row r="8" spans="1:13" s="2004" customFormat="1" ht="18.75" hidden="1" customHeight="1">
      <c r="A8" s="1600"/>
      <c r="B8" s="1077"/>
      <c r="C8" s="1646" t="s">
        <v>105</v>
      </c>
      <c r="D8" s="1590"/>
      <c r="E8" s="141" t="s">
        <v>1161</v>
      </c>
      <c r="F8" s="1587"/>
      <c r="G8" s="192"/>
      <c r="H8" s="1587" t="s">
        <v>341</v>
      </c>
      <c r="K8" s="1541"/>
      <c r="L8" s="1541"/>
      <c r="M8" s="1548">
        <v>0</v>
      </c>
    </row>
    <row r="9" spans="1:13" s="2004" customFormat="1" ht="14.25" hidden="1" customHeight="1">
      <c r="A9" s="1279"/>
      <c r="B9" s="1077"/>
      <c r="C9" s="279"/>
      <c r="K9" s="1541"/>
      <c r="L9" s="1541"/>
      <c r="M9" s="1548">
        <v>0</v>
      </c>
    </row>
    <row r="10" spans="1:13" s="2004" customFormat="1" ht="18.75" hidden="1" customHeight="1">
      <c r="A10" s="1600"/>
      <c r="B10" s="1077"/>
      <c r="C10" s="1646" t="s">
        <v>105</v>
      </c>
      <c r="D10" s="1590"/>
      <c r="E10" s="141" t="s">
        <v>1162</v>
      </c>
      <c r="F10" s="1587"/>
      <c r="G10" s="1591"/>
      <c r="H10" s="1587" t="s">
        <v>341</v>
      </c>
      <c r="K10" s="1541"/>
      <c r="L10" s="1541" t="s">
        <v>1163</v>
      </c>
      <c r="M10" s="1548">
        <v>0</v>
      </c>
    </row>
    <row r="11" spans="1:13" ht="14.25" hidden="1" customHeight="1">
      <c r="M11" s="21">
        <v>0</v>
      </c>
    </row>
    <row r="12" spans="1:13" ht="14.25" hidden="1" customHeight="1">
      <c r="M12" s="21">
        <v>0</v>
      </c>
    </row>
    <row r="13" spans="1:13" ht="14.65" customHeight="1">
      <c r="C13" s="34"/>
      <c r="D13" s="22"/>
      <c r="E13" s="22"/>
      <c r="F13" s="22"/>
      <c r="G13" s="22"/>
      <c r="H13" s="23"/>
      <c r="I13" s="23"/>
      <c r="M13" s="21">
        <v>14</v>
      </c>
    </row>
    <row r="14" spans="1:13" ht="29.25" customHeight="1">
      <c r="C14" s="34"/>
      <c r="D14" s="3111"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3112"/>
      <c r="F14" s="3112"/>
      <c r="G14" s="3112"/>
      <c r="H14" s="3113"/>
      <c r="J14" s="1548"/>
      <c r="M14" s="21">
        <v>28</v>
      </c>
    </row>
    <row r="15" spans="1:13" s="2004" customFormat="1" ht="14.65" customHeight="1">
      <c r="A15" s="1279"/>
      <c r="B15" s="1077"/>
      <c r="C15" s="310"/>
      <c r="D15" s="3164" t="str">
        <f>IF(org=0,"Не определено",org)</f>
        <v>ООО "РСО"</v>
      </c>
      <c r="E15" s="3165"/>
      <c r="F15" s="3165"/>
      <c r="G15" s="3165"/>
      <c r="H15" s="3166"/>
      <c r="J15" s="776"/>
      <c r="K15" s="1541"/>
      <c r="L15" s="1541"/>
      <c r="M15" s="1548">
        <v>14</v>
      </c>
    </row>
    <row r="16" spans="1:13" ht="14.65" customHeight="1">
      <c r="C16" s="34"/>
      <c r="D16" s="22"/>
      <c r="E16" s="33"/>
      <c r="F16" s="33"/>
      <c r="G16" s="33"/>
      <c r="H16" s="686"/>
      <c r="I16" s="128"/>
      <c r="M16" s="21">
        <v>14</v>
      </c>
    </row>
    <row r="17" spans="1:13" s="2004" customFormat="1" ht="14.25" hidden="1" customHeight="1">
      <c r="A17" s="1279"/>
      <c r="B17" s="1077"/>
      <c r="C17" s="310"/>
      <c r="D17" s="297"/>
      <c r="E17" s="323"/>
      <c r="F17" s="323"/>
      <c r="G17" s="323"/>
      <c r="H17" s="686"/>
      <c r="I17" s="128"/>
      <c r="K17" s="1541"/>
      <c r="L17" s="1541"/>
      <c r="M17" s="1548">
        <v>0</v>
      </c>
    </row>
    <row r="18" spans="1:13" ht="22" customHeight="1">
      <c r="C18" s="34"/>
      <c r="D18" s="3159" t="s">
        <v>335</v>
      </c>
      <c r="E18" s="3159"/>
      <c r="F18" s="3159"/>
      <c r="G18" s="3159"/>
      <c r="H18" s="3159"/>
      <c r="I18" s="3301" t="s">
        <v>336</v>
      </c>
      <c r="M18" s="21">
        <v>21</v>
      </c>
    </row>
    <row r="19" spans="1:13" ht="22" customHeight="1">
      <c r="C19" s="34"/>
      <c r="D19" s="43" t="s">
        <v>89</v>
      </c>
      <c r="E19" s="46" t="s">
        <v>337</v>
      </c>
      <c r="F19" s="46"/>
      <c r="G19" s="46" t="s">
        <v>338</v>
      </c>
      <c r="H19" s="46" t="s">
        <v>425</v>
      </c>
      <c r="I19" s="3301"/>
      <c r="M19" s="21">
        <v>21</v>
      </c>
    </row>
    <row r="20" spans="1:13" ht="12" hidden="1" customHeight="1">
      <c r="C20" s="34"/>
      <c r="D20" s="25"/>
      <c r="E20" s="25"/>
      <c r="F20" s="25"/>
      <c r="G20" s="25"/>
      <c r="H20" s="25"/>
      <c r="I20" s="25"/>
      <c r="M20" s="21">
        <v>0</v>
      </c>
    </row>
    <row r="21" spans="1:13" ht="14.65" customHeight="1">
      <c r="A21" s="1600"/>
      <c r="C21" s="34"/>
      <c r="D21" s="83">
        <v>1</v>
      </c>
      <c r="E21" s="3352" t="s">
        <v>1164</v>
      </c>
      <c r="F21" s="3352"/>
      <c r="G21" s="3352"/>
      <c r="H21" s="3352"/>
      <c r="I21" s="143"/>
      <c r="M21" s="21">
        <v>14</v>
      </c>
    </row>
    <row r="22" spans="1:13" ht="21" customHeight="1">
      <c r="A22" s="1600"/>
      <c r="C22" s="34"/>
      <c r="D22" s="83" t="s">
        <v>1054</v>
      </c>
      <c r="E22" s="129" t="s">
        <v>1165</v>
      </c>
      <c r="F22" s="133"/>
      <c r="G22" s="1653"/>
      <c r="H22" s="133" t="s">
        <v>341</v>
      </c>
      <c r="I22" s="87" t="s">
        <v>1166</v>
      </c>
      <c r="M22" s="21">
        <v>20</v>
      </c>
    </row>
    <row r="23" spans="1:13" ht="60" customHeight="1">
      <c r="A23" s="1600"/>
      <c r="C23" s="34"/>
      <c r="D23" s="83" t="s">
        <v>1056</v>
      </c>
      <c r="E23" s="129" t="s">
        <v>1167</v>
      </c>
      <c r="F23" s="133"/>
      <c r="G23" s="192"/>
      <c r="H23" s="148"/>
      <c r="I23" s="193" t="s">
        <v>1168</v>
      </c>
      <c r="M23" s="21">
        <v>57</v>
      </c>
    </row>
    <row r="24" spans="1:13" ht="14.65" customHeight="1">
      <c r="A24" s="1600"/>
      <c r="B24" s="82">
        <v>3</v>
      </c>
      <c r="C24" s="34"/>
      <c r="D24" s="83">
        <v>2</v>
      </c>
      <c r="E24" s="157"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33"/>
      <c r="G24" s="133" t="s">
        <v>341</v>
      </c>
      <c r="H24" s="148"/>
      <c r="I24" s="194" t="s">
        <v>664</v>
      </c>
      <c r="M24" s="21">
        <v>14</v>
      </c>
    </row>
    <row r="25" spans="1:13" ht="48.25" customHeight="1">
      <c r="A25" s="1600"/>
      <c r="C25" s="34"/>
      <c r="D25" s="83">
        <v>3</v>
      </c>
      <c r="E25" s="3352"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3352"/>
      <c r="G25" s="3352"/>
      <c r="H25" s="3352"/>
      <c r="I25" s="191"/>
      <c r="M25" s="21">
        <v>46</v>
      </c>
    </row>
    <row r="26" spans="1:13" ht="14.65" customHeight="1">
      <c r="A26" s="1600"/>
      <c r="C26" s="34"/>
      <c r="D26" s="83" t="s">
        <v>359</v>
      </c>
      <c r="E26" s="134"/>
      <c r="F26" s="133"/>
      <c r="G26" s="133" t="s">
        <v>341</v>
      </c>
      <c r="H26" s="148"/>
      <c r="I26" s="3124" t="s">
        <v>1169</v>
      </c>
      <c r="M26" s="21">
        <v>14</v>
      </c>
    </row>
    <row r="27" spans="1:13" ht="15.75" customHeight="1">
      <c r="A27" s="1600" t="s">
        <v>124</v>
      </c>
      <c r="C27" s="34"/>
      <c r="D27" s="47"/>
      <c r="E27" s="138" t="s">
        <v>357</v>
      </c>
      <c r="F27" s="139"/>
      <c r="G27" s="139"/>
      <c r="H27" s="136"/>
      <c r="I27" s="3126"/>
      <c r="M27" s="21">
        <v>15</v>
      </c>
    </row>
    <row r="28" spans="1:13" ht="39.75" customHeight="1">
      <c r="A28" s="1600"/>
      <c r="B28" s="82">
        <v>3</v>
      </c>
      <c r="C28" s="34"/>
      <c r="D28" s="83">
        <v>4</v>
      </c>
      <c r="E28" s="3352"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3352"/>
      <c r="G28" s="3352"/>
      <c r="H28" s="3352"/>
      <c r="I28" s="191"/>
      <c r="M28" s="21">
        <v>38</v>
      </c>
    </row>
    <row r="29" spans="1:13" ht="21" customHeight="1">
      <c r="A29" s="1600"/>
      <c r="C29" s="34"/>
      <c r="D29" s="83" t="s">
        <v>786</v>
      </c>
      <c r="E29" s="140" t="s">
        <v>1159</v>
      </c>
      <c r="F29" s="133"/>
      <c r="G29" s="192"/>
      <c r="H29" s="133" t="s">
        <v>341</v>
      </c>
      <c r="I29" s="3124" t="s">
        <v>1170</v>
      </c>
      <c r="M29" s="21">
        <v>20</v>
      </c>
    </row>
    <row r="30" spans="1:13" ht="15.75" customHeight="1">
      <c r="A30" s="1600" t="s">
        <v>104</v>
      </c>
      <c r="C30" s="34"/>
      <c r="D30" s="47"/>
      <c r="E30" s="138" t="s">
        <v>357</v>
      </c>
      <c r="F30" s="139"/>
      <c r="G30" s="139"/>
      <c r="H30" s="136"/>
      <c r="I30" s="3126"/>
      <c r="M30" s="21">
        <v>15</v>
      </c>
    </row>
    <row r="31" spans="1:13" ht="31.5" customHeight="1">
      <c r="A31" s="1600"/>
      <c r="B31" s="82">
        <v>3</v>
      </c>
      <c r="C31" s="34"/>
      <c r="D31" s="83">
        <v>5</v>
      </c>
      <c r="E31" s="3352"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3352"/>
      <c r="G31" s="3352"/>
      <c r="H31" s="3352"/>
      <c r="I31" s="191"/>
      <c r="M31" s="21">
        <v>30</v>
      </c>
    </row>
    <row r="32" spans="1:13" ht="27.25" customHeight="1">
      <c r="A32" s="1600"/>
      <c r="C32" s="34"/>
      <c r="D32" s="83" t="s">
        <v>348</v>
      </c>
      <c r="E32" s="3312"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3312"/>
      <c r="G32" s="3312"/>
      <c r="H32" s="3312"/>
      <c r="I32" s="191"/>
      <c r="M32" s="21">
        <v>26</v>
      </c>
    </row>
    <row r="33" spans="1:13" ht="14.65" customHeight="1">
      <c r="A33" s="1600"/>
      <c r="C33" s="34"/>
      <c r="D33" s="83" t="s">
        <v>1171</v>
      </c>
      <c r="E33" s="141" t="s">
        <v>1160</v>
      </c>
      <c r="F33" s="133"/>
      <c r="G33" s="192"/>
      <c r="H33" s="133" t="s">
        <v>341</v>
      </c>
      <c r="I33" s="3124" t="s">
        <v>1172</v>
      </c>
      <c r="M33" s="21">
        <v>14</v>
      </c>
    </row>
    <row r="34" spans="1:13" ht="15.75" customHeight="1">
      <c r="A34" s="1600" t="s">
        <v>91</v>
      </c>
      <c r="C34" s="34"/>
      <c r="D34" s="47"/>
      <c r="E34" s="139" t="s">
        <v>357</v>
      </c>
      <c r="F34" s="135"/>
      <c r="G34" s="135"/>
      <c r="H34" s="136"/>
      <c r="I34" s="3126"/>
      <c r="M34" s="21">
        <v>15</v>
      </c>
    </row>
    <row r="35" spans="1:13" ht="25.25" customHeight="1">
      <c r="A35" s="1600"/>
      <c r="C35" s="34"/>
      <c r="D35" s="83" t="s">
        <v>914</v>
      </c>
      <c r="E35" s="3312"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3312"/>
      <c r="G35" s="3312"/>
      <c r="H35" s="3312"/>
      <c r="I35" s="191"/>
      <c r="M35" s="21">
        <v>24</v>
      </c>
    </row>
    <row r="36" spans="1:13" ht="14.65" customHeight="1">
      <c r="A36" s="1600"/>
      <c r="C36" s="34"/>
      <c r="D36" s="83" t="s">
        <v>1173</v>
      </c>
      <c r="E36" s="141" t="s">
        <v>1161</v>
      </c>
      <c r="F36" s="133"/>
      <c r="G36" s="192"/>
      <c r="H36" s="133" t="s">
        <v>341</v>
      </c>
      <c r="I36" s="3094" t="s">
        <v>1174</v>
      </c>
      <c r="M36" s="21">
        <v>14</v>
      </c>
    </row>
    <row r="37" spans="1:13" ht="15.75" customHeight="1">
      <c r="A37" s="1600" t="s">
        <v>92</v>
      </c>
      <c r="C37" s="34"/>
      <c r="D37" s="47"/>
      <c r="E37" s="139" t="s">
        <v>357</v>
      </c>
      <c r="F37" s="135"/>
      <c r="G37" s="135"/>
      <c r="H37" s="136"/>
      <c r="I37" s="3094"/>
      <c r="M37" s="21">
        <v>15</v>
      </c>
    </row>
    <row r="38" spans="1:13" ht="27.25" customHeight="1">
      <c r="A38" s="1600"/>
      <c r="C38" s="34"/>
      <c r="D38" s="83" t="s">
        <v>915</v>
      </c>
      <c r="E38" s="3312"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3312"/>
      <c r="G38" s="3312"/>
      <c r="H38" s="3312"/>
      <c r="I38" s="191"/>
      <c r="M38" s="21">
        <v>26</v>
      </c>
    </row>
    <row r="39" spans="1:13" ht="14.65" customHeight="1">
      <c r="A39" s="1600"/>
      <c r="C39" s="34"/>
      <c r="D39" s="83" t="s">
        <v>916</v>
      </c>
      <c r="E39" s="141" t="s">
        <v>1162</v>
      </c>
      <c r="F39" s="133"/>
      <c r="G39" s="142"/>
      <c r="H39" s="133" t="s">
        <v>341</v>
      </c>
      <c r="I39" s="3124" t="s">
        <v>1175</v>
      </c>
      <c r="L39" s="91" t="s">
        <v>1163</v>
      </c>
      <c r="M39" s="21">
        <v>14</v>
      </c>
    </row>
    <row r="40" spans="1:13" ht="15.75" customHeight="1">
      <c r="A40" s="1600" t="s">
        <v>125</v>
      </c>
      <c r="C40" s="34"/>
      <c r="D40" s="47"/>
      <c r="E40" s="139" t="s">
        <v>357</v>
      </c>
      <c r="F40" s="135"/>
      <c r="G40" s="135"/>
      <c r="H40" s="136"/>
      <c r="I40" s="3126"/>
      <c r="M40" s="21">
        <v>15</v>
      </c>
    </row>
    <row r="41" spans="1:13" s="2994" customFormat="1" ht="3" customHeight="1">
      <c r="A41" s="1600"/>
      <c r="K41" s="131"/>
      <c r="L41" s="131"/>
      <c r="M41" s="77">
        <v>3</v>
      </c>
    </row>
    <row r="42" spans="1:13" ht="26.25" customHeight="1">
      <c r="D42" s="1598" t="s">
        <v>836</v>
      </c>
      <c r="E42" s="3219"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3219"/>
      <c r="G42" s="3219"/>
      <c r="H42" s="3219"/>
      <c r="I42" s="3219"/>
      <c r="M42" s="21">
        <v>25</v>
      </c>
    </row>
    <row r="43" spans="1:13" ht="22.5" hidden="1" customHeight="1">
      <c r="A43" s="1279" t="s">
        <v>83</v>
      </c>
      <c r="B43" s="82">
        <v>0</v>
      </c>
      <c r="C43" s="35">
        <v>3</v>
      </c>
      <c r="D43" s="21">
        <v>6</v>
      </c>
      <c r="E43" s="21">
        <v>63</v>
      </c>
      <c r="F43" s="21">
        <v>0</v>
      </c>
      <c r="G43" s="21">
        <v>35</v>
      </c>
      <c r="H43" s="21">
        <v>35</v>
      </c>
      <c r="I43" s="21">
        <v>91</v>
      </c>
      <c r="J43" s="21">
        <v>68</v>
      </c>
      <c r="K43" s="91">
        <v>10</v>
      </c>
      <c r="L43" s="91">
        <v>10</v>
      </c>
      <c r="M43" s="21">
        <v>23</v>
      </c>
    </row>
  </sheetData>
  <sheetProtection formatColumns="0" formatRows="0" insertRows="0" deleteColumns="0" deleteRows="0" sort="0" autoFilter="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xr:uid="{00000000-0002-0000-2E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xr:uid="{00000000-0002-0000-2E00-000001000000}">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xr:uid="{00000000-0002-0000-2E00-000002000000}">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xr:uid="{00000000-0002-0000-2E00-000003000000}"/>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EBBE0D-990E-A9AE-CF54-E2D50A82E9B1}">
  <sheetPr>
    <tabColor theme="6" tint="0.39997558519241921"/>
  </sheetPr>
  <dimension ref="A1:AH332"/>
  <sheetViews>
    <sheetView showGridLines="0" topLeftCell="D13" zoomScale="90" workbookViewId="0">
      <selection activeCell="K161" sqref="K161"/>
    </sheetView>
  </sheetViews>
  <sheetFormatPr defaultColWidth="10.59765625" defaultRowHeight="14.25" customHeight="1"/>
  <cols>
    <col min="1" max="2" width="25.09765625" style="2995" hidden="1" customWidth="1"/>
    <col min="3" max="3" width="9.09765625" style="2209" hidden="1" customWidth="1"/>
    <col min="4" max="4" width="3" style="2215" customWidth="1"/>
    <col min="5" max="5" width="6" style="2004" customWidth="1"/>
    <col min="6" max="6" width="46.69921875" style="2004" customWidth="1"/>
    <col min="7" max="7" width="35" style="2004" customWidth="1"/>
    <col min="8" max="8" width="3" style="2004" customWidth="1"/>
    <col min="9" max="10" width="11" style="2004" customWidth="1"/>
    <col min="11" max="12" width="35" style="2004" customWidth="1"/>
    <col min="13" max="13" width="84" style="2004" customWidth="1"/>
    <col min="14" max="14" width="10" style="2004" customWidth="1"/>
    <col min="15" max="16" width="10" style="2022" customWidth="1"/>
    <col min="17" max="33" width="10" style="2004" customWidth="1"/>
    <col min="34" max="34" width="10.59765625" style="2004" hidden="1"/>
  </cols>
  <sheetData>
    <row r="1" spans="1:34" s="2004" customFormat="1" ht="22.5" hidden="1" customHeight="1">
      <c r="A1" s="1695"/>
      <c r="B1" s="1695"/>
      <c r="C1" s="303"/>
      <c r="D1" s="279"/>
      <c r="N1" s="1553">
        <f>IFERROR(MATCH("метод экономически обоснованных расходов (затрат)",OFFER_METHOD,0),0)</f>
        <v>0</v>
      </c>
      <c r="O1" s="1541"/>
      <c r="P1" s="1541"/>
      <c r="T1" s="759"/>
      <c r="AG1" s="190"/>
      <c r="AH1" s="1548" t="s">
        <v>14</v>
      </c>
    </row>
    <row r="2" spans="1:34" s="2004" customFormat="1" ht="18.75" hidden="1" customHeight="1">
      <c r="A2" s="1696" t="s">
        <v>168</v>
      </c>
      <c r="B2" s="1696" t="s">
        <v>169</v>
      </c>
      <c r="C2" s="303"/>
      <c r="D2" s="279"/>
      <c r="E2" s="952"/>
      <c r="F2" s="952"/>
      <c r="G2" s="3328" t="str">
        <f>INDEX(PT_DIFFERENTIATION_NTAR,MATCH(B2,PT_DIFFERENTIATION_NTAR_ID,0))</f>
        <v/>
      </c>
      <c r="H2" s="1778"/>
      <c r="I2" s="1655"/>
      <c r="J2" s="1689"/>
      <c r="K2" s="1779"/>
      <c r="L2" s="1778" t="s">
        <v>341</v>
      </c>
      <c r="M2" s="1789"/>
      <c r="N2" s="269"/>
      <c r="O2" s="1541"/>
      <c r="P2" s="1541"/>
      <c r="AH2" s="1548">
        <v>0</v>
      </c>
    </row>
    <row r="3" spans="1:34" s="2004" customFormat="1" ht="18.75" hidden="1" customHeight="1">
      <c r="A3" s="1696"/>
      <c r="B3" s="1696"/>
      <c r="C3" s="303" t="s">
        <v>1176</v>
      </c>
      <c r="D3" s="279"/>
      <c r="E3" s="952"/>
      <c r="F3" s="952"/>
      <c r="G3" s="3328"/>
      <c r="H3" s="1417"/>
      <c r="I3" s="585" t="s">
        <v>1177</v>
      </c>
      <c r="J3" s="505"/>
      <c r="K3" s="1417"/>
      <c r="L3" s="149"/>
      <c r="M3" s="1789"/>
      <c r="N3" s="269"/>
      <c r="O3" s="1541"/>
      <c r="P3" s="1541"/>
      <c r="AH3" s="1548">
        <v>0</v>
      </c>
    </row>
    <row r="4" spans="1:34" s="2004" customFormat="1" ht="14.25" hidden="1" customHeight="1">
      <c r="A4" s="1695"/>
      <c r="B4" s="1695"/>
      <c r="C4" s="303"/>
      <c r="D4" s="279"/>
      <c r="N4" s="1553">
        <f>IFERROR(MATCH("метод экономически обоснованных расходов (затрат)",OFFER_METHOD,0),0)</f>
        <v>0</v>
      </c>
      <c r="O4" s="1541"/>
      <c r="P4" s="1541"/>
      <c r="T4" s="759"/>
      <c r="AG4" s="190"/>
      <c r="AH4" s="1548">
        <v>0</v>
      </c>
    </row>
    <row r="5" spans="1:34" s="2004" customFormat="1" ht="18.75" hidden="1" customHeight="1">
      <c r="A5" s="1696" t="s">
        <v>168</v>
      </c>
      <c r="B5" s="1696" t="s">
        <v>169</v>
      </c>
      <c r="C5" s="303"/>
      <c r="D5" s="279"/>
      <c r="E5" s="952"/>
      <c r="F5" s="952"/>
      <c r="G5" s="3328" t="str">
        <f>INDEX(PT_DIFFERENTIATION_NTAR,MATCH(B5,PT_DIFFERENTIATION_NTAR_ID,0))</f>
        <v/>
      </c>
      <c r="H5" s="1778"/>
      <c r="I5" s="1655"/>
      <c r="J5" s="1689"/>
      <c r="K5" s="1694"/>
      <c r="L5" s="1778" t="s">
        <v>341</v>
      </c>
      <c r="M5" s="1789"/>
      <c r="N5" s="269"/>
      <c r="O5" s="1541"/>
      <c r="P5" s="1541"/>
      <c r="AH5" s="1548">
        <v>0</v>
      </c>
    </row>
    <row r="6" spans="1:34" s="2004" customFormat="1" ht="18.75" hidden="1" customHeight="1">
      <c r="A6" s="1696"/>
      <c r="B6" s="1696"/>
      <c r="C6" s="303" t="s">
        <v>1178</v>
      </c>
      <c r="D6" s="279"/>
      <c r="E6" s="952"/>
      <c r="F6" s="952"/>
      <c r="G6" s="3328"/>
      <c r="H6" s="1417"/>
      <c r="I6" s="585" t="s">
        <v>1177</v>
      </c>
      <c r="J6" s="505"/>
      <c r="K6" s="1417"/>
      <c r="L6" s="149"/>
      <c r="M6" s="1789"/>
      <c r="N6" s="269"/>
      <c r="O6" s="1541"/>
      <c r="P6" s="1541"/>
      <c r="AH6" s="1548">
        <v>0</v>
      </c>
    </row>
    <row r="7" spans="1:34" s="2004" customFormat="1" ht="14.25" hidden="1" customHeight="1">
      <c r="A7" s="1695"/>
      <c r="B7" s="1695"/>
      <c r="C7" s="303"/>
      <c r="D7" s="279"/>
      <c r="N7" s="1553">
        <f>IFERROR(MATCH("метод экономически обоснованных расходов (затрат)",OFFER_METHOD,0),0)</f>
        <v>0</v>
      </c>
      <c r="O7" s="1541"/>
      <c r="P7" s="1541"/>
      <c r="T7" s="759"/>
      <c r="AG7" s="190"/>
      <c r="AH7" s="1548">
        <v>0</v>
      </c>
    </row>
    <row r="8" spans="1:34" s="2004" customFormat="1" ht="56.25" hidden="1" customHeight="1">
      <c r="A8" s="1696"/>
      <c r="B8" s="1696"/>
      <c r="C8" s="303"/>
      <c r="D8" s="279"/>
      <c r="E8" s="952"/>
      <c r="F8" s="952"/>
      <c r="G8" s="952"/>
      <c r="H8" s="1687"/>
      <c r="I8" s="1655"/>
      <c r="J8" s="1689"/>
      <c r="K8" s="1779"/>
      <c r="L8" s="1687" t="s">
        <v>341</v>
      </c>
      <c r="M8" s="1789"/>
      <c r="N8" s="269"/>
      <c r="O8" s="1541"/>
      <c r="P8" s="1541"/>
      <c r="AH8" s="1548">
        <v>0</v>
      </c>
    </row>
    <row r="9" spans="1:34" ht="14.25" hidden="1" customHeight="1">
      <c r="T9" s="331"/>
      <c r="AG9" s="190"/>
      <c r="AH9" s="308">
        <v>0</v>
      </c>
    </row>
    <row r="10" spans="1:34" s="2004" customFormat="1" ht="56.25" hidden="1" customHeight="1">
      <c r="A10" s="1696"/>
      <c r="B10" s="1696"/>
      <c r="C10" s="303"/>
      <c r="D10" s="279"/>
      <c r="E10" s="952"/>
      <c r="F10" s="952"/>
      <c r="G10" s="952"/>
      <c r="H10" s="1686"/>
      <c r="I10" s="1655"/>
      <c r="J10" s="1689"/>
      <c r="K10" s="1694"/>
      <c r="L10" s="1687" t="s">
        <v>341</v>
      </c>
      <c r="M10" s="1789"/>
      <c r="N10" s="269"/>
      <c r="O10" s="1541"/>
      <c r="P10" s="1541"/>
      <c r="AH10" s="1548">
        <v>0</v>
      </c>
    </row>
    <row r="11" spans="1:34" ht="14.25" hidden="1" customHeight="1">
      <c r="AH11" s="308">
        <v>0</v>
      </c>
    </row>
    <row r="12" spans="1:34" ht="14.25" hidden="1" customHeight="1">
      <c r="AH12" s="308">
        <v>0</v>
      </c>
    </row>
    <row r="13" spans="1:34" ht="6.25" customHeight="1">
      <c r="D13" s="310"/>
      <c r="E13" s="297"/>
      <c r="F13" s="297"/>
      <c r="G13" s="297"/>
      <c r="H13" s="297"/>
      <c r="I13" s="297"/>
      <c r="J13" s="297"/>
      <c r="K13" s="297"/>
      <c r="L13" s="23"/>
      <c r="M13" s="23"/>
      <c r="AH13" s="308">
        <v>6</v>
      </c>
    </row>
    <row r="14" spans="1:34" ht="14.65" customHeight="1">
      <c r="D14" s="310"/>
      <c r="E14" s="3356"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3356"/>
      <c r="G14" s="3356"/>
      <c r="H14" s="3356"/>
      <c r="I14" s="3356"/>
      <c r="J14" s="3356"/>
      <c r="K14" s="3356"/>
      <c r="L14" s="3356"/>
      <c r="M14" s="155"/>
      <c r="AH14" s="308">
        <v>14</v>
      </c>
    </row>
    <row r="15" spans="1:34" ht="6.25" customHeight="1">
      <c r="D15" s="310"/>
      <c r="E15" s="297"/>
      <c r="F15" s="323"/>
      <c r="G15" s="323"/>
      <c r="H15" s="323"/>
      <c r="I15" s="323"/>
      <c r="J15" s="323"/>
      <c r="K15" s="323"/>
      <c r="L15" s="257"/>
      <c r="M15" s="128"/>
      <c r="AH15" s="308">
        <v>6</v>
      </c>
    </row>
    <row r="16" spans="1:34" ht="24" customHeight="1">
      <c r="D16" s="310"/>
      <c r="E16" s="297"/>
      <c r="F16" s="240" t="str">
        <f>"Дата подачи заявления об "&amp;IF(TITLE_DATE_PR_CHANGE="","утверждении","изменении")&amp;" тарифов"</f>
        <v>Дата подачи заявления об изменении тарифов</v>
      </c>
      <c r="G16" s="3201">
        <f>IF(TITLE_DATE_PR_CHANGE="",IF(TITLE_DATE_PR="","",TITLE_DATE_PR),TITLE_DATE_PR_CHANGE)</f>
        <v>45408</v>
      </c>
      <c r="H16" s="3201"/>
      <c r="I16" s="3201"/>
      <c r="J16" s="3201"/>
      <c r="K16" s="3201"/>
      <c r="L16" s="3201"/>
      <c r="M16" s="332"/>
      <c r="N16" s="261"/>
      <c r="AH16" s="308">
        <v>23</v>
      </c>
    </row>
    <row r="17" spans="1:34" ht="24" customHeight="1">
      <c r="D17" s="310"/>
      <c r="E17" s="297"/>
      <c r="F17" s="240" t="str">
        <f>"Номер подачи заявления об "&amp;IF(TITLE_DATE_PR_CHANGE="","утверждении","изменении")&amp;" тарифов"</f>
        <v>Номер подачи заявления об изменении тарифов</v>
      </c>
      <c r="G17" s="3192" t="str">
        <f>IF(TITLE_NUMBER_PR_CHANGE="",IF(TITLE_NUMBER_PR="","",TITLE_NUMBER_PR),TITLE_NUMBER_PR_CHANGE)</f>
        <v>04-24/132, 04-24/131</v>
      </c>
      <c r="H17" s="3192"/>
      <c r="I17" s="3192"/>
      <c r="J17" s="3192"/>
      <c r="K17" s="3192"/>
      <c r="L17" s="3192"/>
      <c r="M17" s="332"/>
      <c r="N17" s="261"/>
      <c r="AH17" s="308">
        <v>23</v>
      </c>
    </row>
    <row r="18" spans="1:34" ht="14.65" customHeight="1">
      <c r="D18" s="310"/>
      <c r="E18" s="297"/>
      <c r="F18" s="323"/>
      <c r="G18" s="323"/>
      <c r="H18" s="323"/>
      <c r="I18" s="323"/>
      <c r="J18" s="323"/>
      <c r="K18" s="323"/>
      <c r="L18" s="686"/>
      <c r="M18" s="128"/>
      <c r="AH18" s="308">
        <v>14</v>
      </c>
    </row>
    <row r="19" spans="1:34" ht="22" customHeight="1">
      <c r="D19" s="310"/>
      <c r="E19" s="3159" t="s">
        <v>335</v>
      </c>
      <c r="F19" s="3159"/>
      <c r="G19" s="3159"/>
      <c r="H19" s="3159"/>
      <c r="I19" s="3159"/>
      <c r="J19" s="3159"/>
      <c r="K19" s="3159"/>
      <c r="L19" s="3159"/>
      <c r="M19" s="3301" t="s">
        <v>336</v>
      </c>
      <c r="AH19" s="308">
        <v>21</v>
      </c>
    </row>
    <row r="20" spans="1:34" ht="22" customHeight="1">
      <c r="D20" s="310"/>
      <c r="E20" s="3211" t="s">
        <v>89</v>
      </c>
      <c r="F20" s="3172" t="s">
        <v>136</v>
      </c>
      <c r="G20" s="3172" t="s">
        <v>137</v>
      </c>
      <c r="H20" s="3298" t="s">
        <v>1179</v>
      </c>
      <c r="I20" s="3299"/>
      <c r="J20" s="3333"/>
      <c r="K20" s="3172" t="s">
        <v>338</v>
      </c>
      <c r="L20" s="3172" t="s">
        <v>425</v>
      </c>
      <c r="M20" s="3301"/>
      <c r="AH20" s="308">
        <v>21</v>
      </c>
    </row>
    <row r="21" spans="1:34" ht="22" customHeight="1">
      <c r="D21" s="310"/>
      <c r="E21" s="3213"/>
      <c r="F21" s="3173"/>
      <c r="G21" s="3173"/>
      <c r="H21" s="3167" t="s">
        <v>1180</v>
      </c>
      <c r="I21" s="3169"/>
      <c r="J21" s="46" t="s">
        <v>1181</v>
      </c>
      <c r="K21" s="3173"/>
      <c r="L21" s="3173"/>
      <c r="M21" s="3301"/>
      <c r="AH21" s="308">
        <v>21</v>
      </c>
    </row>
    <row r="22" spans="1:34" ht="12.75" customHeight="1">
      <c r="D22" s="310"/>
      <c r="E22" s="216"/>
      <c r="F22" s="216"/>
      <c r="G22" s="216"/>
      <c r="H22" s="3358"/>
      <c r="I22" s="3358"/>
      <c r="J22" s="216"/>
      <c r="K22" s="216"/>
      <c r="L22" s="216"/>
      <c r="M22" s="216"/>
      <c r="AH22" s="308">
        <v>12</v>
      </c>
    </row>
    <row r="23" spans="1:34" ht="20" customHeight="1">
      <c r="A23" s="1696"/>
      <c r="B23" s="1696"/>
      <c r="D23" s="310"/>
      <c r="E23" s="1780" t="s">
        <v>124</v>
      </c>
      <c r="F23" s="3359" t="str">
        <f>"Предлагаемый метод регулирования"&amp;IF(TEMPLATE_SPHERE="HEAT"," в сфере "&amp;TEMPLATE_SPHERE_RUS,"")</f>
        <v>Предлагаемый метод регулирования в сфере теплоснабжения</v>
      </c>
      <c r="G23" s="3359"/>
      <c r="H23" s="3352"/>
      <c r="I23" s="3352"/>
      <c r="J23" s="3352"/>
      <c r="K23" s="3359" t="s">
        <v>341</v>
      </c>
      <c r="L23" s="3352"/>
      <c r="M23" s="1685"/>
      <c r="N23" s="269"/>
      <c r="AH23" s="308">
        <v>19</v>
      </c>
    </row>
    <row r="24" spans="1:34" ht="60.75" hidden="1" customHeight="1">
      <c r="A24" s="1696" t="s">
        <v>168</v>
      </c>
      <c r="B24" s="1696" t="s">
        <v>169</v>
      </c>
      <c r="D24" s="3357"/>
      <c r="E24" s="3154"/>
      <c r="F24" s="3360"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3328" t="str">
        <f>INDEX(PT_DIFFERENTIATION_NTAR,MATCH(B24,PT_DIFFERENTIATION_NTAR_ID,0))</f>
        <v/>
      </c>
      <c r="H24" s="1776"/>
      <c r="I24" s="1655"/>
      <c r="J24" s="1689"/>
      <c r="K24" s="1779"/>
      <c r="L24" s="1684" t="s">
        <v>341</v>
      </c>
      <c r="M24" s="3124"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269"/>
      <c r="AH24" s="308">
        <v>0</v>
      </c>
    </row>
    <row r="25" spans="1:34" s="2004" customFormat="1" ht="18.75" hidden="1" customHeight="1">
      <c r="A25" s="1696"/>
      <c r="B25" s="1696"/>
      <c r="C25" s="303" t="s">
        <v>1176</v>
      </c>
      <c r="D25" s="3357"/>
      <c r="E25" s="3154"/>
      <c r="F25" s="3360"/>
      <c r="G25" s="3328"/>
      <c r="H25" s="1417"/>
      <c r="I25" s="585" t="s">
        <v>1177</v>
      </c>
      <c r="J25" s="505"/>
      <c r="K25" s="1417"/>
      <c r="L25" s="149"/>
      <c r="M25" s="3125"/>
      <c r="N25" s="269"/>
      <c r="O25" s="1541"/>
      <c r="P25" s="1541"/>
      <c r="AH25" s="1548">
        <v>0</v>
      </c>
    </row>
    <row r="26" spans="1:34" ht="0.75" hidden="1" customHeight="1">
      <c r="A26" s="1696"/>
      <c r="B26" s="1696"/>
      <c r="C26" s="303" t="s">
        <v>1182</v>
      </c>
      <c r="D26" s="3357"/>
      <c r="E26" s="3154"/>
      <c r="F26" s="3296"/>
      <c r="G26" s="334"/>
      <c r="H26" s="1417"/>
      <c r="I26" s="329"/>
      <c r="J26" s="283"/>
      <c r="K26" s="1417"/>
      <c r="L26" s="136"/>
      <c r="M26" s="3125"/>
      <c r="N26" s="269"/>
      <c r="AH26" s="308">
        <v>0</v>
      </c>
    </row>
    <row r="27" spans="1:34" s="2004" customFormat="1" ht="45" customHeight="1">
      <c r="A27" s="1696" t="s">
        <v>175</v>
      </c>
      <c r="B27" s="1696" t="s">
        <v>176</v>
      </c>
      <c r="C27" s="303"/>
      <c r="D27" s="3353"/>
      <c r="E27" s="3354"/>
      <c r="F27" s="3355" t="str">
        <f>INDEX(PT_DIFFERENTIATION_VTAR,MATCH(A27,PT_DIFFERENTIATION_VTAR_ID,0))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7" s="3328" t="str">
        <f>INDEX(PT_DIFFERENTIATION_NTAR,MATCH(B27,PT_DIFFERENTIATION_NTAR_ID,0))</f>
        <v/>
      </c>
      <c r="H27" s="1776"/>
      <c r="I27" s="2996">
        <v>45658</v>
      </c>
      <c r="J27" s="1689">
        <v>46022</v>
      </c>
      <c r="K27" s="1779" t="s">
        <v>1183</v>
      </c>
      <c r="L27" s="1776" t="s">
        <v>341</v>
      </c>
      <c r="M27" s="3125"/>
      <c r="N27" s="269"/>
      <c r="O27" s="1541"/>
      <c r="P27" s="1541"/>
      <c r="AH27" s="1548">
        <v>0</v>
      </c>
    </row>
    <row r="28" spans="1:34" s="2004" customFormat="1" ht="18.75" customHeight="1">
      <c r="A28" s="1696"/>
      <c r="B28" s="1696"/>
      <c r="C28" s="303" t="s">
        <v>1176</v>
      </c>
      <c r="D28" s="3353"/>
      <c r="E28" s="3354"/>
      <c r="F28" s="3355"/>
      <c r="G28" s="3328"/>
      <c r="H28" s="1417"/>
      <c r="I28" s="585" t="s">
        <v>1177</v>
      </c>
      <c r="J28" s="505"/>
      <c r="K28" s="1417"/>
      <c r="L28" s="149"/>
      <c r="M28" s="3125"/>
      <c r="N28" s="269"/>
      <c r="O28" s="1541"/>
      <c r="P28" s="1541"/>
      <c r="AH28" s="1548">
        <v>0</v>
      </c>
    </row>
    <row r="29" spans="1:34" s="2004" customFormat="1" ht="0.75" customHeight="1">
      <c r="A29" s="1696"/>
      <c r="B29" s="1696"/>
      <c r="C29" s="303" t="s">
        <v>1182</v>
      </c>
      <c r="D29" s="3353"/>
      <c r="E29" s="3154"/>
      <c r="F29" s="3296"/>
      <c r="G29" s="334"/>
      <c r="H29" s="1417"/>
      <c r="I29" s="585"/>
      <c r="J29" s="505"/>
      <c r="K29" s="1417"/>
      <c r="L29" s="149"/>
      <c r="M29" s="3125"/>
      <c r="N29" s="269"/>
      <c r="O29" s="1541"/>
      <c r="P29" s="1541"/>
      <c r="AH29" s="1548">
        <v>0</v>
      </c>
    </row>
    <row r="30" spans="1:34" s="2004" customFormat="1" ht="45" customHeight="1">
      <c r="A30" s="1696" t="s">
        <v>191</v>
      </c>
      <c r="B30" s="1696" t="s">
        <v>192</v>
      </c>
      <c r="C30" s="303"/>
      <c r="D30" s="3353"/>
      <c r="E30" s="3154"/>
      <c r="F30" s="3296"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3328" t="str">
        <f>INDEX(PT_DIFFERENTIATION_NTAR,MATCH(B30,PT_DIFFERENTIATION_NTAR_ID,0))</f>
        <v/>
      </c>
      <c r="H30" s="1776"/>
      <c r="I30" s="2996">
        <v>45658</v>
      </c>
      <c r="J30" s="1689">
        <v>46022</v>
      </c>
      <c r="K30" s="1779" t="s">
        <v>1183</v>
      </c>
      <c r="L30" s="1776" t="s">
        <v>341</v>
      </c>
      <c r="M30" s="3125"/>
      <c r="N30" s="269"/>
      <c r="O30" s="1541"/>
      <c r="P30" s="1541"/>
      <c r="AH30" s="1548">
        <v>0</v>
      </c>
    </row>
    <row r="31" spans="1:34" s="2004" customFormat="1" ht="18.75" customHeight="1">
      <c r="A31" s="1696"/>
      <c r="B31" s="1696"/>
      <c r="C31" s="303" t="s">
        <v>1176</v>
      </c>
      <c r="D31" s="3353"/>
      <c r="E31" s="3154"/>
      <c r="F31" s="3296"/>
      <c r="G31" s="3328"/>
      <c r="H31" s="1417"/>
      <c r="I31" s="585" t="s">
        <v>1177</v>
      </c>
      <c r="J31" s="505"/>
      <c r="K31" s="1417"/>
      <c r="L31" s="149"/>
      <c r="M31" s="3125"/>
      <c r="N31" s="269"/>
      <c r="O31" s="1541"/>
      <c r="P31" s="1541"/>
      <c r="AH31" s="1548">
        <v>0</v>
      </c>
    </row>
    <row r="32" spans="1:34" s="2004" customFormat="1" ht="0.75" customHeight="1">
      <c r="A32" s="1696"/>
      <c r="B32" s="1696"/>
      <c r="C32" s="303" t="s">
        <v>1182</v>
      </c>
      <c r="D32" s="3353"/>
      <c r="E32" s="3154"/>
      <c r="F32" s="3296"/>
      <c r="G32" s="334"/>
      <c r="H32" s="1417"/>
      <c r="I32" s="585"/>
      <c r="J32" s="505"/>
      <c r="K32" s="1417"/>
      <c r="L32" s="149"/>
      <c r="M32" s="3125"/>
      <c r="N32" s="269"/>
      <c r="O32" s="1541"/>
      <c r="P32" s="1541"/>
      <c r="AH32" s="1548">
        <v>0</v>
      </c>
    </row>
    <row r="33" spans="1:34" s="2004" customFormat="1" ht="45" customHeight="1">
      <c r="A33" s="1696" t="s">
        <v>203</v>
      </c>
      <c r="B33" s="1696" t="s">
        <v>204</v>
      </c>
      <c r="C33" s="303"/>
      <c r="D33" s="3353"/>
      <c r="E33" s="3154"/>
      <c r="F33" s="3296"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3328" t="str">
        <f>INDEX(PT_DIFFERENTIATION_NTAR,MATCH(B33,PT_DIFFERENTIATION_NTAR_ID,0))</f>
        <v/>
      </c>
      <c r="H33" s="1776"/>
      <c r="I33" s="2996">
        <v>45658</v>
      </c>
      <c r="J33" s="1689">
        <v>46022</v>
      </c>
      <c r="K33" s="1779" t="s">
        <v>1183</v>
      </c>
      <c r="L33" s="1776" t="s">
        <v>341</v>
      </c>
      <c r="M33" s="3125"/>
      <c r="N33" s="269"/>
      <c r="O33" s="1541"/>
      <c r="P33" s="1541"/>
      <c r="AH33" s="1548">
        <v>0</v>
      </c>
    </row>
    <row r="34" spans="1:34" s="2004" customFormat="1" ht="18.75" customHeight="1">
      <c r="A34" s="1696"/>
      <c r="B34" s="1696"/>
      <c r="C34" s="303" t="s">
        <v>1176</v>
      </c>
      <c r="D34" s="3353"/>
      <c r="E34" s="3154"/>
      <c r="F34" s="3296"/>
      <c r="G34" s="3328"/>
      <c r="H34" s="1417"/>
      <c r="I34" s="585" t="s">
        <v>1177</v>
      </c>
      <c r="J34" s="505"/>
      <c r="K34" s="1417"/>
      <c r="L34" s="149"/>
      <c r="M34" s="3125"/>
      <c r="N34" s="269"/>
      <c r="O34" s="1541"/>
      <c r="P34" s="1541"/>
      <c r="AH34" s="1548">
        <v>0</v>
      </c>
    </row>
    <row r="35" spans="1:34" s="2004" customFormat="1" ht="0.75" customHeight="1">
      <c r="A35" s="1696"/>
      <c r="B35" s="1696"/>
      <c r="C35" s="303" t="s">
        <v>1182</v>
      </c>
      <c r="D35" s="3353"/>
      <c r="E35" s="3154"/>
      <c r="F35" s="3296"/>
      <c r="G35" s="334"/>
      <c r="H35" s="1417"/>
      <c r="I35" s="585"/>
      <c r="J35" s="505"/>
      <c r="K35" s="1417"/>
      <c r="L35" s="149"/>
      <c r="M35" s="3125"/>
      <c r="N35" s="269"/>
      <c r="O35" s="1541"/>
      <c r="P35" s="1541"/>
      <c r="AH35" s="1548">
        <v>0</v>
      </c>
    </row>
    <row r="36" spans="1:34" s="2004" customFormat="1" ht="18.75" customHeight="1">
      <c r="A36" s="1696" t="s">
        <v>216</v>
      </c>
      <c r="B36" s="1696" t="s">
        <v>217</v>
      </c>
      <c r="C36" s="303"/>
      <c r="D36" s="3353"/>
      <c r="E36" s="3154"/>
      <c r="F36" s="3296" t="str">
        <f>INDEX(PT_DIFFERENTIATION_VTAR,MATCH(A36,PT_DIFFERENTIATION_VTAR_ID,0))</f>
        <v>Тарифы на услуги по передаче тепловой энергии</v>
      </c>
      <c r="G36" s="3328" t="str">
        <f>INDEX(PT_DIFFERENTIATION_NTAR,MATCH(B36,PT_DIFFERENTIATION_NTAR_ID,0))</f>
        <v/>
      </c>
      <c r="H36" s="1776"/>
      <c r="I36" s="2996">
        <v>45658</v>
      </c>
      <c r="J36" s="1689">
        <v>46022</v>
      </c>
      <c r="K36" s="1779" t="s">
        <v>1183</v>
      </c>
      <c r="L36" s="1776" t="s">
        <v>341</v>
      </c>
      <c r="M36" s="3125"/>
      <c r="N36" s="269"/>
      <c r="O36" s="1541"/>
      <c r="P36" s="1541"/>
      <c r="AH36" s="1548">
        <v>0</v>
      </c>
    </row>
    <row r="37" spans="1:34" s="2004" customFormat="1" ht="18.75" customHeight="1">
      <c r="A37" s="1696"/>
      <c r="B37" s="1696"/>
      <c r="C37" s="303" t="s">
        <v>1176</v>
      </c>
      <c r="D37" s="3353"/>
      <c r="E37" s="3154"/>
      <c r="F37" s="3296"/>
      <c r="G37" s="3328"/>
      <c r="H37" s="1417"/>
      <c r="I37" s="585" t="s">
        <v>1177</v>
      </c>
      <c r="J37" s="505"/>
      <c r="K37" s="1417"/>
      <c r="L37" s="149"/>
      <c r="M37" s="3125"/>
      <c r="N37" s="269"/>
      <c r="O37" s="1541"/>
      <c r="P37" s="1541"/>
      <c r="AH37" s="1548">
        <v>0</v>
      </c>
    </row>
    <row r="38" spans="1:34" s="2004" customFormat="1" ht="0.75" customHeight="1">
      <c r="A38" s="1696"/>
      <c r="B38" s="1696"/>
      <c r="C38" s="303" t="s">
        <v>1182</v>
      </c>
      <c r="D38" s="3353"/>
      <c r="E38" s="3154"/>
      <c r="F38" s="3296"/>
      <c r="G38" s="334"/>
      <c r="H38" s="1417"/>
      <c r="I38" s="585"/>
      <c r="J38" s="505"/>
      <c r="K38" s="1417"/>
      <c r="L38" s="149"/>
      <c r="M38" s="3125"/>
      <c r="N38" s="269"/>
      <c r="O38" s="1541"/>
      <c r="P38" s="1541"/>
      <c r="AH38" s="1548">
        <v>0</v>
      </c>
    </row>
    <row r="39" spans="1:34" s="2004" customFormat="1" ht="18.75" hidden="1" customHeight="1">
      <c r="A39" s="1696" t="s">
        <v>222</v>
      </c>
      <c r="B39" s="1696" t="s">
        <v>223</v>
      </c>
      <c r="C39" s="303"/>
      <c r="D39" s="3353"/>
      <c r="E39" s="3154"/>
      <c r="F39" s="3296" t="str">
        <f>INDEX(PT_DIFFERENTIATION_VTAR,MATCH(A39,PT_DIFFERENTIATION_VTAR_ID,0))</f>
        <v>Тарифы на услуги по передаче теплоносителя</v>
      </c>
      <c r="G39" s="3328" t="str">
        <f>INDEX(PT_DIFFERENTIATION_NTAR,MATCH(B39,PT_DIFFERENTIATION_NTAR_ID,0))</f>
        <v/>
      </c>
      <c r="H39" s="1776"/>
      <c r="I39" s="1655"/>
      <c r="J39" s="1689"/>
      <c r="K39" s="1779"/>
      <c r="L39" s="1776" t="s">
        <v>341</v>
      </c>
      <c r="M39" s="3125"/>
      <c r="N39" s="269"/>
      <c r="O39" s="1541"/>
      <c r="P39" s="1541"/>
      <c r="AH39" s="1548">
        <v>0</v>
      </c>
    </row>
    <row r="40" spans="1:34" s="2004" customFormat="1" ht="18.75" hidden="1" customHeight="1">
      <c r="A40" s="1696"/>
      <c r="B40" s="1696"/>
      <c r="C40" s="303" t="s">
        <v>1176</v>
      </c>
      <c r="D40" s="3353"/>
      <c r="E40" s="3154"/>
      <c r="F40" s="3296"/>
      <c r="G40" s="3328"/>
      <c r="H40" s="1417"/>
      <c r="I40" s="585" t="s">
        <v>1177</v>
      </c>
      <c r="J40" s="505"/>
      <c r="K40" s="1417"/>
      <c r="L40" s="149"/>
      <c r="M40" s="3125"/>
      <c r="N40" s="269"/>
      <c r="O40" s="1541"/>
      <c r="P40" s="1541"/>
      <c r="AH40" s="1548">
        <v>0</v>
      </c>
    </row>
    <row r="41" spans="1:34" s="2004" customFormat="1" ht="0.75" hidden="1" customHeight="1">
      <c r="A41" s="1696"/>
      <c r="B41" s="1696"/>
      <c r="C41" s="303" t="s">
        <v>1182</v>
      </c>
      <c r="D41" s="3353"/>
      <c r="E41" s="3154"/>
      <c r="F41" s="3296"/>
      <c r="G41" s="334"/>
      <c r="H41" s="1417"/>
      <c r="I41" s="585"/>
      <c r="J41" s="505"/>
      <c r="K41" s="1417"/>
      <c r="L41" s="149"/>
      <c r="M41" s="3125"/>
      <c r="N41" s="269"/>
      <c r="O41" s="1541"/>
      <c r="P41" s="1541"/>
      <c r="AH41" s="1548">
        <v>0</v>
      </c>
    </row>
    <row r="42" spans="1:34" s="2004" customFormat="1" ht="18.75" hidden="1" customHeight="1">
      <c r="A42" s="1696" t="s">
        <v>228</v>
      </c>
      <c r="B42" s="1696" t="s">
        <v>229</v>
      </c>
      <c r="C42" s="303"/>
      <c r="D42" s="3353"/>
      <c r="E42" s="3154"/>
      <c r="F42" s="3296" t="str">
        <f>INDEX(PT_DIFFERENTIATION_VTAR,MATCH(A42,PT_DIFFERENTIATION_VTAR_ID,0))</f>
        <v>Плата за услуги по поддержанию резервной тепловой мощности при отсутствии потребления тепловой энергии</v>
      </c>
      <c r="G42" s="3328" t="str">
        <f>INDEX(PT_DIFFERENTIATION_NTAR,MATCH(B42,PT_DIFFERENTIATION_NTAR_ID,0))</f>
        <v/>
      </c>
      <c r="H42" s="1776"/>
      <c r="I42" s="1655"/>
      <c r="J42" s="1689"/>
      <c r="K42" s="1779"/>
      <c r="L42" s="1776" t="s">
        <v>341</v>
      </c>
      <c r="M42" s="3125"/>
      <c r="N42" s="269"/>
      <c r="O42" s="1541"/>
      <c r="P42" s="1541"/>
      <c r="AH42" s="1548">
        <v>0</v>
      </c>
    </row>
    <row r="43" spans="1:34" s="2004" customFormat="1" ht="18.75" hidden="1" customHeight="1">
      <c r="A43" s="1696"/>
      <c r="B43" s="1696"/>
      <c r="C43" s="303" t="s">
        <v>1176</v>
      </c>
      <c r="D43" s="3353"/>
      <c r="E43" s="3154"/>
      <c r="F43" s="3296"/>
      <c r="G43" s="3328"/>
      <c r="H43" s="1417"/>
      <c r="I43" s="585" t="s">
        <v>1177</v>
      </c>
      <c r="J43" s="505"/>
      <c r="K43" s="1417"/>
      <c r="L43" s="149"/>
      <c r="M43" s="3125"/>
      <c r="N43" s="269"/>
      <c r="O43" s="1541"/>
      <c r="P43" s="1541"/>
      <c r="AH43" s="1548">
        <v>0</v>
      </c>
    </row>
    <row r="44" spans="1:34" s="2004" customFormat="1" ht="0.75" hidden="1" customHeight="1">
      <c r="A44" s="1696"/>
      <c r="B44" s="1696"/>
      <c r="C44" s="303" t="s">
        <v>1182</v>
      </c>
      <c r="D44" s="3353"/>
      <c r="E44" s="3154"/>
      <c r="F44" s="3296"/>
      <c r="G44" s="334"/>
      <c r="H44" s="1417"/>
      <c r="I44" s="585"/>
      <c r="J44" s="505"/>
      <c r="K44" s="1417"/>
      <c r="L44" s="149"/>
      <c r="M44" s="3125"/>
      <c r="N44" s="269"/>
      <c r="O44" s="1541"/>
      <c r="P44" s="1541"/>
      <c r="AH44" s="1548">
        <v>0</v>
      </c>
    </row>
    <row r="45" spans="1:34" s="2004" customFormat="1" ht="18.75" hidden="1" customHeight="1">
      <c r="A45" s="1696" t="s">
        <v>234</v>
      </c>
      <c r="B45" s="1696" t="s">
        <v>235</v>
      </c>
      <c r="C45" s="303"/>
      <c r="D45" s="3353"/>
      <c r="E45" s="3154"/>
      <c r="F45" s="3296" t="str">
        <f>INDEX(PT_DIFFERENTIATION_VTAR,MATCH(A45,PT_DIFFERENTIATION_VTAR_ID,0))</f>
        <v>Плата за подключение (технологическое присоединение) к системе теплоснабжения</v>
      </c>
      <c r="G45" s="3328" t="str">
        <f>INDEX(PT_DIFFERENTIATION_NTAR,MATCH(B45,PT_DIFFERENTIATION_NTAR_ID,0))</f>
        <v/>
      </c>
      <c r="H45" s="1776"/>
      <c r="I45" s="1655"/>
      <c r="J45" s="1689"/>
      <c r="K45" s="1779"/>
      <c r="L45" s="1776" t="s">
        <v>341</v>
      </c>
      <c r="M45" s="3125"/>
      <c r="N45" s="269"/>
      <c r="O45" s="1541"/>
      <c r="P45" s="1541"/>
      <c r="AH45" s="1548">
        <v>0</v>
      </c>
    </row>
    <row r="46" spans="1:34" s="2004" customFormat="1" ht="18.75" hidden="1" customHeight="1">
      <c r="A46" s="1696"/>
      <c r="B46" s="1696"/>
      <c r="C46" s="303" t="s">
        <v>1176</v>
      </c>
      <c r="D46" s="3353"/>
      <c r="E46" s="3154"/>
      <c r="F46" s="3296"/>
      <c r="G46" s="3328"/>
      <c r="H46" s="1417"/>
      <c r="I46" s="585" t="s">
        <v>1177</v>
      </c>
      <c r="J46" s="505"/>
      <c r="K46" s="1417"/>
      <c r="L46" s="149"/>
      <c r="M46" s="3125"/>
      <c r="N46" s="269"/>
      <c r="O46" s="1541"/>
      <c r="P46" s="1541"/>
      <c r="AH46" s="1548">
        <v>0</v>
      </c>
    </row>
    <row r="47" spans="1:34" s="2004" customFormat="1" ht="0.75" hidden="1" customHeight="1">
      <c r="A47" s="1696"/>
      <c r="B47" s="1696"/>
      <c r="C47" s="303" t="s">
        <v>1182</v>
      </c>
      <c r="D47" s="3353"/>
      <c r="E47" s="3154"/>
      <c r="F47" s="3296"/>
      <c r="G47" s="334"/>
      <c r="H47" s="1417"/>
      <c r="I47" s="585"/>
      <c r="J47" s="505"/>
      <c r="K47" s="1417"/>
      <c r="L47" s="149"/>
      <c r="M47" s="3125"/>
      <c r="N47" s="269"/>
      <c r="O47" s="1541"/>
      <c r="P47" s="1541"/>
      <c r="AH47" s="1548">
        <v>0</v>
      </c>
    </row>
    <row r="48" spans="1:34" s="2004" customFormat="1" ht="18.75" hidden="1" customHeight="1">
      <c r="A48" s="1696" t="s">
        <v>240</v>
      </c>
      <c r="B48" s="1696" t="s">
        <v>241</v>
      </c>
      <c r="C48" s="303"/>
      <c r="D48" s="3353"/>
      <c r="E48" s="3154"/>
      <c r="F48" s="3296" t="str">
        <f>INDEX(PT_DIFFERENTIATION_VTAR,MATCH(A48,PT_DIFFERENTIATION_VTAR_ID,0))</f>
        <v>Плата за подключение (технологическое присоединение) к системе теплоснабжения (индивидуальная)</v>
      </c>
      <c r="G48" s="3328" t="str">
        <f>INDEX(PT_DIFFERENTIATION_NTAR,MATCH(B48,PT_DIFFERENTIATION_NTAR_ID,0))</f>
        <v/>
      </c>
      <c r="H48" s="1900"/>
      <c r="I48" s="1655"/>
      <c r="J48" s="1689"/>
      <c r="K48" s="1779"/>
      <c r="L48" s="1900" t="s">
        <v>341</v>
      </c>
      <c r="M48" s="3125"/>
      <c r="N48" s="269"/>
      <c r="O48" s="1541"/>
      <c r="P48" s="1541"/>
      <c r="AH48" s="1548">
        <v>0</v>
      </c>
    </row>
    <row r="49" spans="1:34" s="2004" customFormat="1" ht="18.75" hidden="1" customHeight="1">
      <c r="A49" s="1696"/>
      <c r="B49" s="1696"/>
      <c r="C49" s="303" t="s">
        <v>1176</v>
      </c>
      <c r="D49" s="3353"/>
      <c r="E49" s="3154"/>
      <c r="F49" s="3296"/>
      <c r="G49" s="3328"/>
      <c r="H49" s="1417"/>
      <c r="I49" s="585" t="s">
        <v>1177</v>
      </c>
      <c r="J49" s="505"/>
      <c r="K49" s="1417"/>
      <c r="L49" s="149"/>
      <c r="M49" s="3125"/>
      <c r="N49" s="269"/>
      <c r="O49" s="1541"/>
      <c r="P49" s="1541"/>
      <c r="AH49" s="1548">
        <v>0</v>
      </c>
    </row>
    <row r="50" spans="1:34" s="2004" customFormat="1" ht="0.75" hidden="1" customHeight="1">
      <c r="A50" s="1696"/>
      <c r="B50" s="1696"/>
      <c r="C50" s="303" t="s">
        <v>1182</v>
      </c>
      <c r="D50" s="3353"/>
      <c r="E50" s="3154"/>
      <c r="F50" s="3296"/>
      <c r="G50" s="334"/>
      <c r="H50" s="1417"/>
      <c r="I50" s="585"/>
      <c r="J50" s="505"/>
      <c r="K50" s="1417"/>
      <c r="L50" s="149"/>
      <c r="M50" s="3125"/>
      <c r="N50" s="269"/>
      <c r="O50" s="1541"/>
      <c r="P50" s="1541"/>
      <c r="AH50" s="1548">
        <v>0</v>
      </c>
    </row>
    <row r="51" spans="1:34" s="2004" customFormat="1" ht="18.75" hidden="1" customHeight="1">
      <c r="A51" s="1696" t="s">
        <v>260</v>
      </c>
      <c r="B51" s="1696" t="s">
        <v>261</v>
      </c>
      <c r="C51" s="303"/>
      <c r="D51" s="3353"/>
      <c r="E51" s="3154"/>
      <c r="F51" s="3296" t="str">
        <f>INDEX(PT_DIFFERENTIATION_VTAR,MATCH(A51,PT_DIFFERENTIATION_VTAR_ID,0))</f>
        <v>Тариф на питьевую воду (питьевое водоснабжение)</v>
      </c>
      <c r="G51" s="3328" t="str">
        <f>INDEX(PT_DIFFERENTIATION_NTAR,MATCH(B51,PT_DIFFERENTIATION_NTAR_ID,0))</f>
        <v/>
      </c>
      <c r="H51" s="1776"/>
      <c r="I51" s="1655"/>
      <c r="J51" s="1689"/>
      <c r="K51" s="1779"/>
      <c r="L51" s="1776" t="s">
        <v>341</v>
      </c>
      <c r="M51" s="3125"/>
      <c r="N51" s="269"/>
      <c r="O51" s="1541"/>
      <c r="P51" s="1541"/>
      <c r="AH51" s="1548">
        <v>0</v>
      </c>
    </row>
    <row r="52" spans="1:34" s="2004" customFormat="1" ht="18.75" hidden="1" customHeight="1">
      <c r="A52" s="1696"/>
      <c r="B52" s="1696"/>
      <c r="C52" s="303" t="s">
        <v>1176</v>
      </c>
      <c r="D52" s="3353"/>
      <c r="E52" s="3154"/>
      <c r="F52" s="3296"/>
      <c r="G52" s="3328"/>
      <c r="H52" s="1417"/>
      <c r="I52" s="585" t="s">
        <v>1177</v>
      </c>
      <c r="J52" s="505"/>
      <c r="K52" s="1417"/>
      <c r="L52" s="149"/>
      <c r="M52" s="3125"/>
      <c r="N52" s="269"/>
      <c r="O52" s="1541"/>
      <c r="P52" s="1541"/>
      <c r="AH52" s="1548">
        <v>0</v>
      </c>
    </row>
    <row r="53" spans="1:34" s="2004" customFormat="1" ht="0.75" hidden="1" customHeight="1">
      <c r="A53" s="1696"/>
      <c r="B53" s="1696"/>
      <c r="C53" s="303" t="s">
        <v>1182</v>
      </c>
      <c r="D53" s="3353"/>
      <c r="E53" s="3154"/>
      <c r="F53" s="3296"/>
      <c r="G53" s="334"/>
      <c r="H53" s="1417"/>
      <c r="I53" s="585"/>
      <c r="J53" s="505"/>
      <c r="K53" s="1417"/>
      <c r="L53" s="149"/>
      <c r="M53" s="3125"/>
      <c r="N53" s="269"/>
      <c r="O53" s="1541"/>
      <c r="P53" s="1541"/>
      <c r="AH53" s="1548">
        <v>0</v>
      </c>
    </row>
    <row r="54" spans="1:34" s="2004" customFormat="1" ht="18.75" hidden="1" customHeight="1">
      <c r="A54" s="1696" t="s">
        <v>265</v>
      </c>
      <c r="B54" s="1696" t="s">
        <v>266</v>
      </c>
      <c r="C54" s="303"/>
      <c r="D54" s="3353"/>
      <c r="E54" s="3154"/>
      <c r="F54" s="3296" t="str">
        <f>INDEX(PT_DIFFERENTIATION_VTAR,MATCH(A54,PT_DIFFERENTIATION_VTAR_ID,0))</f>
        <v>Тариф на техническую воду</v>
      </c>
      <c r="G54" s="3328" t="str">
        <f>INDEX(PT_DIFFERENTIATION_NTAR,MATCH(B54,PT_DIFFERENTIATION_NTAR_ID,0))</f>
        <v/>
      </c>
      <c r="H54" s="1776"/>
      <c r="I54" s="1655"/>
      <c r="J54" s="1689"/>
      <c r="K54" s="1779"/>
      <c r="L54" s="1776" t="s">
        <v>341</v>
      </c>
      <c r="M54" s="3125"/>
      <c r="N54" s="269"/>
      <c r="O54" s="1541"/>
      <c r="P54" s="1541"/>
      <c r="AH54" s="1548">
        <v>0</v>
      </c>
    </row>
    <row r="55" spans="1:34" s="2004" customFormat="1" ht="18.75" hidden="1" customHeight="1">
      <c r="A55" s="1696"/>
      <c r="B55" s="1696"/>
      <c r="C55" s="303" t="s">
        <v>1176</v>
      </c>
      <c r="D55" s="3353"/>
      <c r="E55" s="3154"/>
      <c r="F55" s="3296"/>
      <c r="G55" s="3328"/>
      <c r="H55" s="1417"/>
      <c r="I55" s="585" t="s">
        <v>1177</v>
      </c>
      <c r="J55" s="505"/>
      <c r="K55" s="1417"/>
      <c r="L55" s="149"/>
      <c r="M55" s="3125"/>
      <c r="N55" s="269"/>
      <c r="O55" s="1541"/>
      <c r="P55" s="1541"/>
      <c r="AH55" s="1548">
        <v>0</v>
      </c>
    </row>
    <row r="56" spans="1:34" s="2004" customFormat="1" ht="0.75" hidden="1" customHeight="1">
      <c r="A56" s="1696"/>
      <c r="B56" s="1696"/>
      <c r="C56" s="303" t="s">
        <v>1182</v>
      </c>
      <c r="D56" s="3353"/>
      <c r="E56" s="3154"/>
      <c r="F56" s="3296"/>
      <c r="G56" s="334"/>
      <c r="H56" s="1417"/>
      <c r="I56" s="585"/>
      <c r="J56" s="505"/>
      <c r="K56" s="1417"/>
      <c r="L56" s="149"/>
      <c r="M56" s="3125"/>
      <c r="N56" s="269"/>
      <c r="O56" s="1541"/>
      <c r="P56" s="1541"/>
      <c r="AH56" s="1548">
        <v>0</v>
      </c>
    </row>
    <row r="57" spans="1:34" s="2004" customFormat="1" ht="18.75" hidden="1" customHeight="1">
      <c r="A57" s="1696" t="s">
        <v>270</v>
      </c>
      <c r="B57" s="1696" t="s">
        <v>271</v>
      </c>
      <c r="C57" s="303"/>
      <c r="D57" s="3353"/>
      <c r="E57" s="3154"/>
      <c r="F57" s="3296" t="str">
        <f>INDEX(PT_DIFFERENTIATION_VTAR,MATCH(A57,PT_DIFFERENTIATION_VTAR_ID,0))</f>
        <v>Тариф на транспортировку воды</v>
      </c>
      <c r="G57" s="3328" t="str">
        <f>INDEX(PT_DIFFERENTIATION_NTAR,MATCH(B57,PT_DIFFERENTIATION_NTAR_ID,0))</f>
        <v/>
      </c>
      <c r="H57" s="1776"/>
      <c r="I57" s="1655"/>
      <c r="J57" s="1689"/>
      <c r="K57" s="1779"/>
      <c r="L57" s="1776" t="s">
        <v>341</v>
      </c>
      <c r="M57" s="3125"/>
      <c r="N57" s="269"/>
      <c r="O57" s="1541"/>
      <c r="P57" s="1541"/>
      <c r="AH57" s="1548">
        <v>0</v>
      </c>
    </row>
    <row r="58" spans="1:34" s="2004" customFormat="1" ht="18.75" hidden="1" customHeight="1">
      <c r="A58" s="1696"/>
      <c r="B58" s="1696"/>
      <c r="C58" s="303" t="s">
        <v>1176</v>
      </c>
      <c r="D58" s="3353"/>
      <c r="E58" s="3154"/>
      <c r="F58" s="3296"/>
      <c r="G58" s="3328"/>
      <c r="H58" s="1417"/>
      <c r="I58" s="585" t="s">
        <v>1177</v>
      </c>
      <c r="J58" s="505"/>
      <c r="K58" s="1417"/>
      <c r="L58" s="149"/>
      <c r="M58" s="3125"/>
      <c r="N58" s="269"/>
      <c r="O58" s="1541"/>
      <c r="P58" s="1541"/>
      <c r="AH58" s="1548">
        <v>0</v>
      </c>
    </row>
    <row r="59" spans="1:34" s="2004" customFormat="1" ht="0.75" hidden="1" customHeight="1">
      <c r="A59" s="1696"/>
      <c r="B59" s="1696"/>
      <c r="C59" s="303" t="s">
        <v>1182</v>
      </c>
      <c r="D59" s="3353"/>
      <c r="E59" s="3154"/>
      <c r="F59" s="3296"/>
      <c r="G59" s="334"/>
      <c r="H59" s="1417"/>
      <c r="I59" s="585"/>
      <c r="J59" s="505"/>
      <c r="K59" s="1417"/>
      <c r="L59" s="149"/>
      <c r="M59" s="3125"/>
      <c r="N59" s="269"/>
      <c r="O59" s="1541"/>
      <c r="P59" s="1541"/>
      <c r="AH59" s="1548">
        <v>0</v>
      </c>
    </row>
    <row r="60" spans="1:34" s="2004" customFormat="1" ht="18.75" hidden="1" customHeight="1">
      <c r="A60" s="1696" t="s">
        <v>275</v>
      </c>
      <c r="B60" s="1696" t="s">
        <v>276</v>
      </c>
      <c r="C60" s="303"/>
      <c r="D60" s="3353"/>
      <c r="E60" s="3154"/>
      <c r="F60" s="3296" t="str">
        <f>INDEX(PT_DIFFERENTIATION_VTAR,MATCH(A60,PT_DIFFERENTIATION_VTAR_ID,0))</f>
        <v>Тариф на подвоз воды</v>
      </c>
      <c r="G60" s="3328" t="str">
        <f>INDEX(PT_DIFFERENTIATION_NTAR,MATCH(B60,PT_DIFFERENTIATION_NTAR_ID,0))</f>
        <v/>
      </c>
      <c r="H60" s="1776"/>
      <c r="I60" s="1655"/>
      <c r="J60" s="1689"/>
      <c r="K60" s="1779"/>
      <c r="L60" s="1776" t="s">
        <v>341</v>
      </c>
      <c r="M60" s="3125"/>
      <c r="N60" s="269"/>
      <c r="O60" s="1541"/>
      <c r="P60" s="1541"/>
      <c r="AH60" s="1548">
        <v>0</v>
      </c>
    </row>
    <row r="61" spans="1:34" s="2004" customFormat="1" ht="18.75" hidden="1" customHeight="1">
      <c r="A61" s="1696"/>
      <c r="B61" s="1696"/>
      <c r="C61" s="303" t="s">
        <v>1176</v>
      </c>
      <c r="D61" s="3353"/>
      <c r="E61" s="3154"/>
      <c r="F61" s="3296"/>
      <c r="G61" s="3328"/>
      <c r="H61" s="1417"/>
      <c r="I61" s="585" t="s">
        <v>1177</v>
      </c>
      <c r="J61" s="505"/>
      <c r="K61" s="1417"/>
      <c r="L61" s="149"/>
      <c r="M61" s="3125"/>
      <c r="N61" s="269"/>
      <c r="O61" s="1541"/>
      <c r="P61" s="1541"/>
      <c r="AH61" s="1548">
        <v>0</v>
      </c>
    </row>
    <row r="62" spans="1:34" s="2004" customFormat="1" ht="0.75" hidden="1" customHeight="1">
      <c r="A62" s="1696"/>
      <c r="B62" s="1696"/>
      <c r="C62" s="303" t="s">
        <v>1182</v>
      </c>
      <c r="D62" s="3353"/>
      <c r="E62" s="3154"/>
      <c r="F62" s="3296"/>
      <c r="G62" s="334"/>
      <c r="H62" s="1417"/>
      <c r="I62" s="585"/>
      <c r="J62" s="505"/>
      <c r="K62" s="1417"/>
      <c r="L62" s="149"/>
      <c r="M62" s="3125"/>
      <c r="N62" s="269"/>
      <c r="O62" s="1541"/>
      <c r="P62" s="1541"/>
      <c r="AH62" s="1548">
        <v>0</v>
      </c>
    </row>
    <row r="63" spans="1:34" s="2004" customFormat="1" ht="18.75" hidden="1" customHeight="1">
      <c r="A63" s="1696" t="s">
        <v>280</v>
      </c>
      <c r="B63" s="1696" t="s">
        <v>281</v>
      </c>
      <c r="C63" s="303"/>
      <c r="D63" s="3353"/>
      <c r="E63" s="3154"/>
      <c r="F63" s="3296" t="str">
        <f>INDEX(PT_DIFFERENTIATION_VTAR,MATCH(A63,PT_DIFFERENTIATION_VTAR_ID,0))</f>
        <v>Тариф на подключение (технологическое присоединение) к централизованной системе холодного водоснабжения</v>
      </c>
      <c r="G63" s="3328" t="str">
        <f>INDEX(PT_DIFFERENTIATION_NTAR,MATCH(B63,PT_DIFFERENTIATION_NTAR_ID,0))</f>
        <v/>
      </c>
      <c r="H63" s="1776"/>
      <c r="I63" s="1655"/>
      <c r="J63" s="1689"/>
      <c r="K63" s="1779"/>
      <c r="L63" s="1776" t="s">
        <v>341</v>
      </c>
      <c r="M63" s="3125"/>
      <c r="N63" s="269"/>
      <c r="O63" s="1541"/>
      <c r="P63" s="1541"/>
      <c r="AH63" s="1548">
        <v>0</v>
      </c>
    </row>
    <row r="64" spans="1:34" s="2004" customFormat="1" ht="18.75" hidden="1" customHeight="1">
      <c r="A64" s="1696"/>
      <c r="B64" s="1696"/>
      <c r="C64" s="303" t="s">
        <v>1176</v>
      </c>
      <c r="D64" s="3353"/>
      <c r="E64" s="3154"/>
      <c r="F64" s="3296"/>
      <c r="G64" s="3328"/>
      <c r="H64" s="1417"/>
      <c r="I64" s="585" t="s">
        <v>1177</v>
      </c>
      <c r="J64" s="505"/>
      <c r="K64" s="1417"/>
      <c r="L64" s="149"/>
      <c r="M64" s="3125"/>
      <c r="N64" s="269"/>
      <c r="O64" s="1541"/>
      <c r="P64" s="1541"/>
      <c r="AH64" s="1548">
        <v>0</v>
      </c>
    </row>
    <row r="65" spans="1:34" s="2004" customFormat="1" ht="0.75" hidden="1" customHeight="1">
      <c r="A65" s="1696"/>
      <c r="B65" s="1696"/>
      <c r="C65" s="303" t="s">
        <v>1182</v>
      </c>
      <c r="D65" s="3353"/>
      <c r="E65" s="3154"/>
      <c r="F65" s="3296"/>
      <c r="G65" s="334"/>
      <c r="H65" s="1417"/>
      <c r="I65" s="585"/>
      <c r="J65" s="505"/>
      <c r="K65" s="1417"/>
      <c r="L65" s="149"/>
      <c r="M65" s="3125"/>
      <c r="N65" s="269"/>
      <c r="O65" s="1541"/>
      <c r="P65" s="1541"/>
      <c r="AH65" s="1548">
        <v>0</v>
      </c>
    </row>
    <row r="66" spans="1:34" s="2004" customFormat="1" ht="18.75" hidden="1" customHeight="1">
      <c r="A66" s="1696" t="s">
        <v>285</v>
      </c>
      <c r="B66" s="1696" t="s">
        <v>286</v>
      </c>
      <c r="C66" s="303"/>
      <c r="D66" s="3353"/>
      <c r="E66" s="3154"/>
      <c r="F66" s="3296" t="str">
        <f>INDEX(PT_DIFFERENTIATION_VTAR,MATCH(A66,PT_DIFFERENTIATION_VTAR_ID,0))</f>
        <v>Тариф на горячую воду (горячее водоснабжение)</v>
      </c>
      <c r="G66" s="3328" t="str">
        <f>INDEX(PT_DIFFERENTIATION_NTAR,MATCH(B66,PT_DIFFERENTIATION_NTAR_ID,0))</f>
        <v/>
      </c>
      <c r="H66" s="1776"/>
      <c r="I66" s="1655"/>
      <c r="J66" s="1689"/>
      <c r="K66" s="1779"/>
      <c r="L66" s="1776" t="s">
        <v>341</v>
      </c>
      <c r="M66" s="3125"/>
      <c r="N66" s="269"/>
      <c r="O66" s="1541"/>
      <c r="P66" s="1541"/>
      <c r="AH66" s="1548">
        <v>0</v>
      </c>
    </row>
    <row r="67" spans="1:34" s="2004" customFormat="1" ht="18.75" hidden="1" customHeight="1">
      <c r="A67" s="1696"/>
      <c r="B67" s="1696"/>
      <c r="C67" s="303" t="s">
        <v>1176</v>
      </c>
      <c r="D67" s="3353"/>
      <c r="E67" s="3154"/>
      <c r="F67" s="3296"/>
      <c r="G67" s="3328"/>
      <c r="H67" s="1417"/>
      <c r="I67" s="585" t="s">
        <v>1177</v>
      </c>
      <c r="J67" s="505"/>
      <c r="K67" s="1417"/>
      <c r="L67" s="149"/>
      <c r="M67" s="3125"/>
      <c r="N67" s="269"/>
      <c r="O67" s="1541"/>
      <c r="P67" s="1541"/>
      <c r="AH67" s="1548">
        <v>0</v>
      </c>
    </row>
    <row r="68" spans="1:34" s="2004" customFormat="1" ht="0.75" hidden="1" customHeight="1">
      <c r="A68" s="1696"/>
      <c r="B68" s="1696"/>
      <c r="C68" s="303" t="s">
        <v>1182</v>
      </c>
      <c r="D68" s="3353"/>
      <c r="E68" s="3154"/>
      <c r="F68" s="3296"/>
      <c r="G68" s="334"/>
      <c r="H68" s="1417"/>
      <c r="I68" s="585"/>
      <c r="J68" s="505"/>
      <c r="K68" s="1417"/>
      <c r="L68" s="149"/>
      <c r="M68" s="3125"/>
      <c r="N68" s="269"/>
      <c r="O68" s="1541"/>
      <c r="P68" s="1541"/>
      <c r="AH68" s="1548">
        <v>0</v>
      </c>
    </row>
    <row r="69" spans="1:34" s="2004" customFormat="1" ht="18.75" hidden="1" customHeight="1">
      <c r="A69" s="1696" t="s">
        <v>290</v>
      </c>
      <c r="B69" s="1696" t="s">
        <v>291</v>
      </c>
      <c r="C69" s="303"/>
      <c r="D69" s="3353"/>
      <c r="E69" s="3154"/>
      <c r="F69" s="3296" t="str">
        <f>INDEX(PT_DIFFERENTIATION_VTAR,MATCH(A69,PT_DIFFERENTIATION_VTAR_ID,0))</f>
        <v>Тариф на транспортировку горячей воды</v>
      </c>
      <c r="G69" s="3328" t="str">
        <f>INDEX(PT_DIFFERENTIATION_NTAR,MATCH(B69,PT_DIFFERENTIATION_NTAR_ID,0))</f>
        <v/>
      </c>
      <c r="H69" s="1776"/>
      <c r="I69" s="1655"/>
      <c r="J69" s="1689"/>
      <c r="K69" s="1779"/>
      <c r="L69" s="1776" t="s">
        <v>341</v>
      </c>
      <c r="M69" s="3125"/>
      <c r="N69" s="269"/>
      <c r="O69" s="1541"/>
      <c r="P69" s="1541"/>
      <c r="AH69" s="1548">
        <v>0</v>
      </c>
    </row>
    <row r="70" spans="1:34" s="2004" customFormat="1" ht="18.75" hidden="1" customHeight="1">
      <c r="A70" s="1696"/>
      <c r="B70" s="1696"/>
      <c r="C70" s="303" t="s">
        <v>1176</v>
      </c>
      <c r="D70" s="3353"/>
      <c r="E70" s="3154"/>
      <c r="F70" s="3296"/>
      <c r="G70" s="3328"/>
      <c r="H70" s="1417"/>
      <c r="I70" s="585" t="s">
        <v>1177</v>
      </c>
      <c r="J70" s="505"/>
      <c r="K70" s="1417"/>
      <c r="L70" s="149"/>
      <c r="M70" s="3125"/>
      <c r="N70" s="269"/>
      <c r="O70" s="1541"/>
      <c r="P70" s="1541"/>
      <c r="AH70" s="1548">
        <v>0</v>
      </c>
    </row>
    <row r="71" spans="1:34" s="2004" customFormat="1" ht="0.75" hidden="1" customHeight="1">
      <c r="A71" s="1696"/>
      <c r="B71" s="1696"/>
      <c r="C71" s="303" t="s">
        <v>1182</v>
      </c>
      <c r="D71" s="3353"/>
      <c r="E71" s="3154"/>
      <c r="F71" s="3296"/>
      <c r="G71" s="334"/>
      <c r="H71" s="1417"/>
      <c r="I71" s="585"/>
      <c r="J71" s="505"/>
      <c r="K71" s="1417"/>
      <c r="L71" s="149"/>
      <c r="M71" s="3125"/>
      <c r="N71" s="269"/>
      <c r="O71" s="1541"/>
      <c r="P71" s="1541"/>
      <c r="AH71" s="1548">
        <v>0</v>
      </c>
    </row>
    <row r="72" spans="1:34" s="2004" customFormat="1" ht="18.75" hidden="1" customHeight="1">
      <c r="A72" s="1696" t="s">
        <v>295</v>
      </c>
      <c r="B72" s="1696" t="s">
        <v>296</v>
      </c>
      <c r="C72" s="303"/>
      <c r="D72" s="3353"/>
      <c r="E72" s="3154"/>
      <c r="F72" s="3296" t="str">
        <f>INDEX(PT_DIFFERENTIATION_VTAR,MATCH(A72,PT_DIFFERENTIATION_VTAR_ID,0))</f>
        <v>Тариф на подключение (технологическое присоединение) к централизованной системе горячего водоснабжения</v>
      </c>
      <c r="G72" s="3328" t="str">
        <f>INDEX(PT_DIFFERENTIATION_NTAR,MATCH(B72,PT_DIFFERENTIATION_NTAR_ID,0))</f>
        <v/>
      </c>
      <c r="H72" s="1776"/>
      <c r="I72" s="1655"/>
      <c r="J72" s="1689"/>
      <c r="K72" s="1779"/>
      <c r="L72" s="1776" t="s">
        <v>341</v>
      </c>
      <c r="M72" s="3125"/>
      <c r="N72" s="269"/>
      <c r="O72" s="1541"/>
      <c r="P72" s="1541"/>
      <c r="AH72" s="1548">
        <v>0</v>
      </c>
    </row>
    <row r="73" spans="1:34" s="2004" customFormat="1" ht="18.75" hidden="1" customHeight="1">
      <c r="A73" s="1696"/>
      <c r="B73" s="1696"/>
      <c r="C73" s="303" t="s">
        <v>1176</v>
      </c>
      <c r="D73" s="3353"/>
      <c r="E73" s="3154"/>
      <c r="F73" s="3296"/>
      <c r="G73" s="3328"/>
      <c r="H73" s="1417"/>
      <c r="I73" s="585" t="s">
        <v>1177</v>
      </c>
      <c r="J73" s="505"/>
      <c r="K73" s="1417"/>
      <c r="L73" s="149"/>
      <c r="M73" s="3125"/>
      <c r="N73" s="269"/>
      <c r="O73" s="1541"/>
      <c r="P73" s="1541"/>
      <c r="AH73" s="1548">
        <v>0</v>
      </c>
    </row>
    <row r="74" spans="1:34" s="2004" customFormat="1" ht="0.75" hidden="1" customHeight="1">
      <c r="A74" s="1696"/>
      <c r="B74" s="1696"/>
      <c r="C74" s="303" t="s">
        <v>1182</v>
      </c>
      <c r="D74" s="3353"/>
      <c r="E74" s="3154"/>
      <c r="F74" s="3296"/>
      <c r="G74" s="334"/>
      <c r="H74" s="1417"/>
      <c r="I74" s="585"/>
      <c r="J74" s="505"/>
      <c r="K74" s="1417"/>
      <c r="L74" s="149"/>
      <c r="M74" s="3125"/>
      <c r="N74" s="269"/>
      <c r="O74" s="1541"/>
      <c r="P74" s="1541"/>
      <c r="AH74" s="1548">
        <v>0</v>
      </c>
    </row>
    <row r="75" spans="1:34" s="2004" customFormat="1" ht="18.75" hidden="1" customHeight="1">
      <c r="A75" s="1696" t="s">
        <v>300</v>
      </c>
      <c r="B75" s="1696" t="s">
        <v>301</v>
      </c>
      <c r="C75" s="303"/>
      <c r="D75" s="3353"/>
      <c r="E75" s="3154"/>
      <c r="F75" s="3296" t="str">
        <f>INDEX(PT_DIFFERENTIATION_VTAR,MATCH(A75,PT_DIFFERENTIATION_VTAR_ID,0))</f>
        <v>Тариф на водоотведение</v>
      </c>
      <c r="G75" s="3328" t="str">
        <f>INDEX(PT_DIFFERENTIATION_NTAR,MATCH(B75,PT_DIFFERENTIATION_NTAR_ID,0))</f>
        <v/>
      </c>
      <c r="H75" s="1776"/>
      <c r="I75" s="1655"/>
      <c r="J75" s="1689"/>
      <c r="K75" s="1779"/>
      <c r="L75" s="1776" t="s">
        <v>341</v>
      </c>
      <c r="M75" s="3125"/>
      <c r="N75" s="269"/>
      <c r="O75" s="1541"/>
      <c r="P75" s="1541"/>
      <c r="AH75" s="1548">
        <v>0</v>
      </c>
    </row>
    <row r="76" spans="1:34" s="2004" customFormat="1" ht="18.75" hidden="1" customHeight="1">
      <c r="A76" s="1696"/>
      <c r="B76" s="1696"/>
      <c r="C76" s="303" t="s">
        <v>1176</v>
      </c>
      <c r="D76" s="3353"/>
      <c r="E76" s="3154"/>
      <c r="F76" s="3296"/>
      <c r="G76" s="3328"/>
      <c r="H76" s="1417"/>
      <c r="I76" s="585" t="s">
        <v>1177</v>
      </c>
      <c r="J76" s="505"/>
      <c r="K76" s="1417"/>
      <c r="L76" s="149"/>
      <c r="M76" s="3125"/>
      <c r="N76" s="269"/>
      <c r="O76" s="1541"/>
      <c r="P76" s="1541"/>
      <c r="AH76" s="1548">
        <v>0</v>
      </c>
    </row>
    <row r="77" spans="1:34" s="2004" customFormat="1" ht="0.75" hidden="1" customHeight="1">
      <c r="A77" s="1696"/>
      <c r="B77" s="1696"/>
      <c r="C77" s="303" t="s">
        <v>1182</v>
      </c>
      <c r="D77" s="3353"/>
      <c r="E77" s="3154"/>
      <c r="F77" s="3296"/>
      <c r="G77" s="334"/>
      <c r="H77" s="1417"/>
      <c r="I77" s="585"/>
      <c r="J77" s="505"/>
      <c r="K77" s="1417"/>
      <c r="L77" s="149"/>
      <c r="M77" s="3125"/>
      <c r="N77" s="269"/>
      <c r="O77" s="1541"/>
      <c r="P77" s="1541"/>
      <c r="AH77" s="1548">
        <v>0</v>
      </c>
    </row>
    <row r="78" spans="1:34" s="2004" customFormat="1" ht="18.75" hidden="1" customHeight="1">
      <c r="A78" s="1696" t="s">
        <v>305</v>
      </c>
      <c r="B78" s="1696" t="s">
        <v>306</v>
      </c>
      <c r="C78" s="303"/>
      <c r="D78" s="3353"/>
      <c r="E78" s="3154"/>
      <c r="F78" s="3296" t="str">
        <f>INDEX(PT_DIFFERENTIATION_VTAR,MATCH(A78,PT_DIFFERENTIATION_VTAR_ID,0))</f>
        <v>Тариф на транспортировку сточных вод</v>
      </c>
      <c r="G78" s="3328" t="str">
        <f>INDEX(PT_DIFFERENTIATION_NTAR,MATCH(B78,PT_DIFFERENTIATION_NTAR_ID,0))</f>
        <v/>
      </c>
      <c r="H78" s="1776"/>
      <c r="I78" s="1655"/>
      <c r="J78" s="1689"/>
      <c r="K78" s="1779"/>
      <c r="L78" s="1776" t="s">
        <v>341</v>
      </c>
      <c r="M78" s="3125"/>
      <c r="N78" s="269"/>
      <c r="O78" s="1541"/>
      <c r="P78" s="1541"/>
      <c r="AH78" s="1548">
        <v>0</v>
      </c>
    </row>
    <row r="79" spans="1:34" s="2004" customFormat="1" ht="18.75" hidden="1" customHeight="1">
      <c r="A79" s="1696"/>
      <c r="B79" s="1696"/>
      <c r="C79" s="303" t="s">
        <v>1176</v>
      </c>
      <c r="D79" s="3353"/>
      <c r="E79" s="3154"/>
      <c r="F79" s="3296"/>
      <c r="G79" s="3328"/>
      <c r="H79" s="1417"/>
      <c r="I79" s="585" t="s">
        <v>1177</v>
      </c>
      <c r="J79" s="505"/>
      <c r="K79" s="1417"/>
      <c r="L79" s="149"/>
      <c r="M79" s="3125"/>
      <c r="N79" s="269"/>
      <c r="O79" s="1541"/>
      <c r="P79" s="1541"/>
      <c r="AH79" s="1548">
        <v>0</v>
      </c>
    </row>
    <row r="80" spans="1:34" s="2004" customFormat="1" ht="0.75" hidden="1" customHeight="1">
      <c r="A80" s="1696"/>
      <c r="B80" s="1696"/>
      <c r="C80" s="303" t="s">
        <v>1182</v>
      </c>
      <c r="D80" s="3353"/>
      <c r="E80" s="3154"/>
      <c r="F80" s="3296"/>
      <c r="G80" s="334"/>
      <c r="H80" s="1417"/>
      <c r="I80" s="585"/>
      <c r="J80" s="505"/>
      <c r="K80" s="1417"/>
      <c r="L80" s="149"/>
      <c r="M80" s="3125"/>
      <c r="N80" s="269"/>
      <c r="O80" s="1541"/>
      <c r="P80" s="1541"/>
      <c r="AH80" s="1548">
        <v>0</v>
      </c>
    </row>
    <row r="81" spans="1:34" s="2004" customFormat="1" ht="18.75" hidden="1" customHeight="1">
      <c r="A81" s="1696" t="s">
        <v>310</v>
      </c>
      <c r="B81" s="1696" t="s">
        <v>311</v>
      </c>
      <c r="C81" s="303"/>
      <c r="D81" s="3353"/>
      <c r="E81" s="3154"/>
      <c r="F81" s="3296" t="str">
        <f>INDEX(PT_DIFFERENTIATION_VTAR,MATCH(A81,PT_DIFFERENTIATION_VTAR_ID,0))</f>
        <v>Тариф на подключение (технологическое присоединение) к централизованной системе водоотведения</v>
      </c>
      <c r="G81" s="3328" t="str">
        <f>INDEX(PT_DIFFERENTIATION_NTAR,MATCH(B81,PT_DIFFERENTIATION_NTAR_ID,0))</f>
        <v/>
      </c>
      <c r="H81" s="1776"/>
      <c r="I81" s="1655"/>
      <c r="J81" s="1689"/>
      <c r="K81" s="1779"/>
      <c r="L81" s="1776" t="s">
        <v>341</v>
      </c>
      <c r="M81" s="3125"/>
      <c r="N81" s="269"/>
      <c r="O81" s="1541"/>
      <c r="P81" s="1541"/>
      <c r="AH81" s="1548">
        <v>0</v>
      </c>
    </row>
    <row r="82" spans="1:34" s="2004" customFormat="1" ht="18.75" hidden="1" customHeight="1">
      <c r="A82" s="1696"/>
      <c r="B82" s="1696"/>
      <c r="C82" s="303" t="s">
        <v>1176</v>
      </c>
      <c r="D82" s="3353"/>
      <c r="E82" s="3154"/>
      <c r="F82" s="3296"/>
      <c r="G82" s="3328"/>
      <c r="H82" s="1417"/>
      <c r="I82" s="585" t="s">
        <v>1177</v>
      </c>
      <c r="J82" s="505"/>
      <c r="K82" s="1417"/>
      <c r="L82" s="149"/>
      <c r="M82" s="3125"/>
      <c r="N82" s="269"/>
      <c r="O82" s="1541"/>
      <c r="P82" s="1541"/>
      <c r="AH82" s="1548">
        <v>0</v>
      </c>
    </row>
    <row r="83" spans="1:34" s="2004" customFormat="1" ht="1" customHeight="1">
      <c r="A83" s="1696"/>
      <c r="B83" s="1696"/>
      <c r="C83" s="303" t="s">
        <v>1182</v>
      </c>
      <c r="D83" s="3353"/>
      <c r="E83" s="3154"/>
      <c r="F83" s="3296"/>
      <c r="G83" s="334"/>
      <c r="H83" s="1417"/>
      <c r="I83" s="585"/>
      <c r="J83" s="505"/>
      <c r="K83" s="1417"/>
      <c r="L83" s="149"/>
      <c r="M83" s="3125"/>
      <c r="N83" s="269"/>
      <c r="O83" s="1541"/>
      <c r="P83" s="1541"/>
      <c r="AH83" s="1548">
        <v>1</v>
      </c>
    </row>
    <row r="84" spans="1:34" ht="20" customHeight="1">
      <c r="A84" s="1696"/>
      <c r="B84" s="1696"/>
      <c r="D84" s="310"/>
      <c r="E84" s="83" t="s">
        <v>104</v>
      </c>
      <c r="F84" s="3352"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3352"/>
      <c r="H84" s="3352"/>
      <c r="I84" s="3352"/>
      <c r="J84" s="3352"/>
      <c r="K84" s="3352"/>
      <c r="L84" s="3352"/>
      <c r="M84" s="232"/>
      <c r="N84" s="269"/>
      <c r="AH84" s="308">
        <v>19</v>
      </c>
    </row>
    <row r="85" spans="1:34" ht="35.65" customHeight="1">
      <c r="A85" s="1696"/>
      <c r="B85" s="1696"/>
      <c r="D85" s="310"/>
      <c r="E85" s="333"/>
      <c r="F85" s="133" t="s">
        <v>341</v>
      </c>
      <c r="G85" s="133" t="s">
        <v>341</v>
      </c>
      <c r="H85" s="3167" t="s">
        <v>341</v>
      </c>
      <c r="I85" s="3169"/>
      <c r="J85" s="133" t="s">
        <v>341</v>
      </c>
      <c r="K85" s="133" t="s">
        <v>341</v>
      </c>
      <c r="L85" s="2997" t="s">
        <v>1184</v>
      </c>
      <c r="M85" s="280" t="s">
        <v>1185</v>
      </c>
      <c r="N85" s="269"/>
      <c r="AH85" s="308">
        <v>34</v>
      </c>
    </row>
    <row r="86" spans="1:34" ht="20" customHeight="1">
      <c r="A86" s="1696"/>
      <c r="B86" s="1696"/>
      <c r="D86" s="310"/>
      <c r="E86" s="83" t="s">
        <v>91</v>
      </c>
      <c r="F86" s="3352" t="s">
        <v>1186</v>
      </c>
      <c r="G86" s="3352"/>
      <c r="H86" s="3352"/>
      <c r="I86" s="3352"/>
      <c r="J86" s="3352"/>
      <c r="K86" s="3352"/>
      <c r="L86" s="3352"/>
      <c r="M86" s="232"/>
      <c r="N86" s="269"/>
      <c r="AH86" s="308">
        <v>19</v>
      </c>
    </row>
    <row r="87" spans="1:34" s="2004" customFormat="1" ht="60.75" hidden="1" customHeight="1">
      <c r="A87" s="1696" t="s">
        <v>168</v>
      </c>
      <c r="B87" s="1696" t="s">
        <v>169</v>
      </c>
      <c r="C87" s="303"/>
      <c r="D87" s="3353"/>
      <c r="E87" s="3154"/>
      <c r="F87" s="3296"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3328" t="str">
        <f>INDEX(PT_DIFFERENTIATION_NTAR,MATCH(B87,PT_DIFFERENTIATION_NTAR_ID,0))</f>
        <v/>
      </c>
      <c r="H87" s="1776"/>
      <c r="I87" s="1655"/>
      <c r="J87" s="1689"/>
      <c r="K87" s="1694"/>
      <c r="L87" s="1776" t="s">
        <v>341</v>
      </c>
      <c r="M87" s="3124"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269"/>
      <c r="O87" s="1541"/>
      <c r="P87" s="1541"/>
      <c r="AH87" s="1548">
        <v>0</v>
      </c>
    </row>
    <row r="88" spans="1:34" s="2004" customFormat="1" ht="18.75" hidden="1" customHeight="1">
      <c r="A88" s="1696"/>
      <c r="B88" s="1696"/>
      <c r="C88" s="303" t="s">
        <v>1178</v>
      </c>
      <c r="D88" s="3353"/>
      <c r="E88" s="3154"/>
      <c r="F88" s="3296"/>
      <c r="G88" s="3328"/>
      <c r="H88" s="1417"/>
      <c r="I88" s="585" t="s">
        <v>1177</v>
      </c>
      <c r="J88" s="505"/>
      <c r="K88" s="1417"/>
      <c r="L88" s="149"/>
      <c r="M88" s="3125"/>
      <c r="N88" s="269"/>
      <c r="O88" s="1541"/>
      <c r="P88" s="1541"/>
      <c r="AH88" s="1548">
        <v>0</v>
      </c>
    </row>
    <row r="89" spans="1:34" s="2004" customFormat="1" ht="0.75" hidden="1" customHeight="1">
      <c r="A89" s="1696"/>
      <c r="B89" s="1696"/>
      <c r="C89" s="303" t="s">
        <v>1187</v>
      </c>
      <c r="D89" s="3353"/>
      <c r="E89" s="3154"/>
      <c r="F89" s="3296"/>
      <c r="G89" s="334"/>
      <c r="H89" s="1417"/>
      <c r="I89" s="585"/>
      <c r="J89" s="505"/>
      <c r="K89" s="1417"/>
      <c r="L89" s="149"/>
      <c r="M89" s="3125"/>
      <c r="N89" s="269"/>
      <c r="O89" s="1541"/>
      <c r="P89" s="1541"/>
      <c r="AH89" s="1548">
        <v>0</v>
      </c>
    </row>
    <row r="90" spans="1:34" s="2004" customFormat="1" ht="45" customHeight="1">
      <c r="A90" s="1696" t="s">
        <v>175</v>
      </c>
      <c r="B90" s="1696" t="s">
        <v>176</v>
      </c>
      <c r="C90" s="303"/>
      <c r="D90" s="3353"/>
      <c r="E90" s="3154"/>
      <c r="F90" s="3296" t="str">
        <f>INDEX(PT_DIFFERENTIATION_VTAR,MATCH(A90,PT_DIFFERENTIATION_VTAR_ID,0))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90" s="3328" t="str">
        <f>INDEX(PT_DIFFERENTIATION_NTAR,MATCH(B90,PT_DIFFERENTIATION_NTAR_ID,0))</f>
        <v/>
      </c>
      <c r="H90" s="1776"/>
      <c r="I90" s="2996">
        <v>45658</v>
      </c>
      <c r="J90" s="2998">
        <v>46022</v>
      </c>
      <c r="K90" s="1694">
        <v>256851</v>
      </c>
      <c r="L90" s="1776" t="s">
        <v>341</v>
      </c>
      <c r="M90" s="3126"/>
      <c r="N90" s="269"/>
      <c r="O90" s="1541"/>
      <c r="P90" s="1541"/>
      <c r="AH90" s="1548">
        <v>0</v>
      </c>
    </row>
    <row r="91" spans="1:34" s="2004" customFormat="1" ht="18.75" customHeight="1">
      <c r="A91" s="1696"/>
      <c r="B91" s="1696"/>
      <c r="C91" s="303" t="s">
        <v>1178</v>
      </c>
      <c r="D91" s="3353"/>
      <c r="E91" s="3154"/>
      <c r="F91" s="3296"/>
      <c r="G91" s="3328"/>
      <c r="H91" s="1417"/>
      <c r="I91" s="585" t="s">
        <v>1177</v>
      </c>
      <c r="J91" s="505"/>
      <c r="K91" s="1417"/>
      <c r="L91" s="149"/>
      <c r="M91" s="1775"/>
      <c r="N91" s="269"/>
      <c r="O91" s="1541"/>
      <c r="P91" s="1541"/>
      <c r="AH91" s="1548">
        <v>0</v>
      </c>
    </row>
    <row r="92" spans="1:34" s="2004" customFormat="1" ht="0.75" customHeight="1">
      <c r="A92" s="1696"/>
      <c r="B92" s="1696"/>
      <c r="C92" s="303" t="s">
        <v>1187</v>
      </c>
      <c r="D92" s="3353"/>
      <c r="E92" s="3154"/>
      <c r="F92" s="3296"/>
      <c r="G92" s="334"/>
      <c r="H92" s="1417"/>
      <c r="I92" s="585"/>
      <c r="J92" s="505"/>
      <c r="K92" s="1417"/>
      <c r="L92" s="149"/>
      <c r="M92" s="276"/>
      <c r="N92" s="269"/>
      <c r="O92" s="1541"/>
      <c r="P92" s="1541"/>
      <c r="AH92" s="1548">
        <v>0</v>
      </c>
    </row>
    <row r="93" spans="1:34" s="2004" customFormat="1" ht="45" customHeight="1">
      <c r="A93" s="1696" t="s">
        <v>191</v>
      </c>
      <c r="B93" s="1696" t="s">
        <v>192</v>
      </c>
      <c r="C93" s="303"/>
      <c r="D93" s="3353"/>
      <c r="E93" s="3154"/>
      <c r="F93" s="3296"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3328" t="str">
        <f>INDEX(PT_DIFFERENTIATION_NTAR,MATCH(B93,PT_DIFFERENTIATION_NTAR_ID,0))</f>
        <v/>
      </c>
      <c r="H93" s="1776"/>
      <c r="I93" s="2996">
        <v>45658</v>
      </c>
      <c r="J93" s="1689">
        <v>46022</v>
      </c>
      <c r="K93" s="1694">
        <v>0</v>
      </c>
      <c r="L93" s="1776" t="s">
        <v>341</v>
      </c>
      <c r="M93" s="276"/>
      <c r="N93" s="269"/>
      <c r="O93" s="1541"/>
      <c r="P93" s="1541"/>
      <c r="AH93" s="1548">
        <v>0</v>
      </c>
    </row>
    <row r="94" spans="1:34" s="2004" customFormat="1" ht="18.75" customHeight="1">
      <c r="A94" s="1696"/>
      <c r="B94" s="1696"/>
      <c r="C94" s="303" t="s">
        <v>1178</v>
      </c>
      <c r="D94" s="3353"/>
      <c r="E94" s="3154"/>
      <c r="F94" s="3296"/>
      <c r="G94" s="3328"/>
      <c r="H94" s="1417"/>
      <c r="I94" s="585" t="s">
        <v>1177</v>
      </c>
      <c r="J94" s="505"/>
      <c r="K94" s="1417"/>
      <c r="L94" s="149"/>
      <c r="M94" s="276"/>
      <c r="N94" s="269"/>
      <c r="O94" s="1541"/>
      <c r="P94" s="1541"/>
      <c r="AH94" s="1548">
        <v>0</v>
      </c>
    </row>
    <row r="95" spans="1:34" s="2004" customFormat="1" ht="0.75" customHeight="1">
      <c r="A95" s="1696"/>
      <c r="B95" s="1696"/>
      <c r="C95" s="303" t="s">
        <v>1187</v>
      </c>
      <c r="D95" s="3353"/>
      <c r="E95" s="3154"/>
      <c r="F95" s="3296"/>
      <c r="G95" s="334"/>
      <c r="H95" s="1417"/>
      <c r="I95" s="585"/>
      <c r="J95" s="505"/>
      <c r="K95" s="1417"/>
      <c r="L95" s="149"/>
      <c r="M95" s="276"/>
      <c r="N95" s="269"/>
      <c r="O95" s="1541"/>
      <c r="P95" s="1541"/>
      <c r="AH95" s="1548">
        <v>0</v>
      </c>
    </row>
    <row r="96" spans="1:34" s="2004" customFormat="1" ht="45" customHeight="1">
      <c r="A96" s="1696" t="s">
        <v>203</v>
      </c>
      <c r="B96" s="1696" t="s">
        <v>204</v>
      </c>
      <c r="C96" s="303"/>
      <c r="D96" s="3353"/>
      <c r="E96" s="3154"/>
      <c r="F96" s="3296"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3328" t="str">
        <f>INDEX(PT_DIFFERENTIATION_NTAR,MATCH(B96,PT_DIFFERENTIATION_NTAR_ID,0))</f>
        <v/>
      </c>
      <c r="H96" s="1776"/>
      <c r="I96" s="2996">
        <v>45658</v>
      </c>
      <c r="J96" s="1689">
        <v>46022</v>
      </c>
      <c r="K96" s="1694">
        <v>0</v>
      </c>
      <c r="L96" s="1776" t="s">
        <v>341</v>
      </c>
      <c r="M96" s="276"/>
      <c r="N96" s="269"/>
      <c r="O96" s="1541"/>
      <c r="P96" s="1541"/>
      <c r="AH96" s="1548">
        <v>0</v>
      </c>
    </row>
    <row r="97" spans="1:34" s="2004" customFormat="1" ht="18.75" customHeight="1">
      <c r="A97" s="1696"/>
      <c r="B97" s="1696"/>
      <c r="C97" s="303" t="s">
        <v>1178</v>
      </c>
      <c r="D97" s="3353"/>
      <c r="E97" s="3154"/>
      <c r="F97" s="3296"/>
      <c r="G97" s="3328"/>
      <c r="H97" s="1417"/>
      <c r="I97" s="585" t="s">
        <v>1177</v>
      </c>
      <c r="J97" s="505"/>
      <c r="K97" s="1417"/>
      <c r="L97" s="149"/>
      <c r="M97" s="276"/>
      <c r="N97" s="269"/>
      <c r="O97" s="1541"/>
      <c r="P97" s="1541"/>
      <c r="AH97" s="1548">
        <v>0</v>
      </c>
    </row>
    <row r="98" spans="1:34" s="2004" customFormat="1" ht="0.75" customHeight="1">
      <c r="A98" s="1696"/>
      <c r="B98" s="1696"/>
      <c r="C98" s="303" t="s">
        <v>1187</v>
      </c>
      <c r="D98" s="3353"/>
      <c r="E98" s="3154"/>
      <c r="F98" s="3296"/>
      <c r="G98" s="334"/>
      <c r="H98" s="1417"/>
      <c r="I98" s="585"/>
      <c r="J98" s="505"/>
      <c r="K98" s="1417"/>
      <c r="L98" s="149"/>
      <c r="M98" s="276"/>
      <c r="N98" s="269"/>
      <c r="O98" s="1541"/>
      <c r="P98" s="1541"/>
      <c r="AH98" s="1548">
        <v>0</v>
      </c>
    </row>
    <row r="99" spans="1:34" s="2004" customFormat="1" ht="18.75" customHeight="1">
      <c r="A99" s="1696" t="s">
        <v>216</v>
      </c>
      <c r="B99" s="1696" t="s">
        <v>217</v>
      </c>
      <c r="C99" s="303"/>
      <c r="D99" s="3353"/>
      <c r="E99" s="3154"/>
      <c r="F99" s="3296" t="str">
        <f>INDEX(PT_DIFFERENTIATION_VTAR,MATCH(A99,PT_DIFFERENTIATION_VTAR_ID,0))</f>
        <v>Тарифы на услуги по передаче тепловой энергии</v>
      </c>
      <c r="G99" s="3328" t="str">
        <f>INDEX(PT_DIFFERENTIATION_NTAR,MATCH(B99,PT_DIFFERENTIATION_NTAR_ID,0))</f>
        <v/>
      </c>
      <c r="H99" s="1776"/>
      <c r="I99" s="2996">
        <v>45658</v>
      </c>
      <c r="J99" s="1689">
        <v>46022</v>
      </c>
      <c r="K99" s="1694">
        <v>2994.62</v>
      </c>
      <c r="L99" s="1776" t="s">
        <v>341</v>
      </c>
      <c r="M99" s="276"/>
      <c r="N99" s="269"/>
      <c r="O99" s="1541"/>
      <c r="P99" s="1541"/>
      <c r="AH99" s="1548">
        <v>0</v>
      </c>
    </row>
    <row r="100" spans="1:34" s="2004" customFormat="1" ht="18.75" customHeight="1">
      <c r="A100" s="1696"/>
      <c r="B100" s="1696"/>
      <c r="C100" s="303" t="s">
        <v>1178</v>
      </c>
      <c r="D100" s="3353"/>
      <c r="E100" s="3154"/>
      <c r="F100" s="3296"/>
      <c r="G100" s="3328"/>
      <c r="H100" s="1417"/>
      <c r="I100" s="585" t="s">
        <v>1177</v>
      </c>
      <c r="J100" s="505"/>
      <c r="K100" s="1417"/>
      <c r="L100" s="149"/>
      <c r="M100" s="276"/>
      <c r="N100" s="269"/>
      <c r="O100" s="1541"/>
      <c r="P100" s="1541"/>
      <c r="AH100" s="1548">
        <v>0</v>
      </c>
    </row>
    <row r="101" spans="1:34" s="2004" customFormat="1" ht="0.75" customHeight="1">
      <c r="A101" s="1696"/>
      <c r="B101" s="1696"/>
      <c r="C101" s="303" t="s">
        <v>1187</v>
      </c>
      <c r="D101" s="3353"/>
      <c r="E101" s="3154"/>
      <c r="F101" s="3296"/>
      <c r="G101" s="334"/>
      <c r="H101" s="1417"/>
      <c r="I101" s="585"/>
      <c r="J101" s="505"/>
      <c r="K101" s="1417"/>
      <c r="L101" s="149"/>
      <c r="M101" s="276"/>
      <c r="N101" s="269"/>
      <c r="O101" s="1541"/>
      <c r="P101" s="1541"/>
      <c r="AH101" s="1548">
        <v>0</v>
      </c>
    </row>
    <row r="102" spans="1:34" s="2004" customFormat="1" ht="18.75" hidden="1" customHeight="1">
      <c r="A102" s="1696" t="s">
        <v>222</v>
      </c>
      <c r="B102" s="1696" t="s">
        <v>223</v>
      </c>
      <c r="C102" s="303"/>
      <c r="D102" s="3353"/>
      <c r="E102" s="3154"/>
      <c r="F102" s="3296" t="str">
        <f>INDEX(PT_DIFFERENTIATION_VTAR,MATCH(A102,PT_DIFFERENTIATION_VTAR_ID,0))</f>
        <v>Тарифы на услуги по передаче теплоносителя</v>
      </c>
      <c r="G102" s="3328" t="str">
        <f>INDEX(PT_DIFFERENTIATION_NTAR,MATCH(B102,PT_DIFFERENTIATION_NTAR_ID,0))</f>
        <v/>
      </c>
      <c r="H102" s="1776"/>
      <c r="I102" s="1655"/>
      <c r="J102" s="1689"/>
      <c r="K102" s="1694"/>
      <c r="L102" s="1776" t="s">
        <v>341</v>
      </c>
      <c r="M102" s="276"/>
      <c r="N102" s="269"/>
      <c r="O102" s="1541"/>
      <c r="P102" s="1541"/>
      <c r="AH102" s="1548">
        <v>0</v>
      </c>
    </row>
    <row r="103" spans="1:34" s="2004" customFormat="1" ht="18.75" hidden="1" customHeight="1">
      <c r="A103" s="1696"/>
      <c r="B103" s="1696"/>
      <c r="C103" s="303" t="s">
        <v>1178</v>
      </c>
      <c r="D103" s="3353"/>
      <c r="E103" s="3154"/>
      <c r="F103" s="3296"/>
      <c r="G103" s="3328"/>
      <c r="H103" s="1417"/>
      <c r="I103" s="585" t="s">
        <v>1177</v>
      </c>
      <c r="J103" s="505"/>
      <c r="K103" s="1417"/>
      <c r="L103" s="149"/>
      <c r="M103" s="276"/>
      <c r="N103" s="269"/>
      <c r="O103" s="1541"/>
      <c r="P103" s="1541"/>
      <c r="AH103" s="1548">
        <v>0</v>
      </c>
    </row>
    <row r="104" spans="1:34" s="2004" customFormat="1" ht="0.75" hidden="1" customHeight="1">
      <c r="A104" s="1696"/>
      <c r="B104" s="1696"/>
      <c r="C104" s="303" t="s">
        <v>1187</v>
      </c>
      <c r="D104" s="3353"/>
      <c r="E104" s="3154"/>
      <c r="F104" s="3296"/>
      <c r="G104" s="334"/>
      <c r="H104" s="1417"/>
      <c r="I104" s="585"/>
      <c r="J104" s="505"/>
      <c r="K104" s="1417"/>
      <c r="L104" s="149"/>
      <c r="M104" s="276"/>
      <c r="N104" s="269"/>
      <c r="O104" s="1541"/>
      <c r="P104" s="1541"/>
      <c r="AH104" s="1548">
        <v>0</v>
      </c>
    </row>
    <row r="105" spans="1:34" s="2004" customFormat="1" ht="18.75" hidden="1" customHeight="1">
      <c r="A105" s="1696" t="s">
        <v>228</v>
      </c>
      <c r="B105" s="1696" t="s">
        <v>229</v>
      </c>
      <c r="C105" s="303"/>
      <c r="D105" s="3353"/>
      <c r="E105" s="3154"/>
      <c r="F105" s="3296" t="str">
        <f>INDEX(PT_DIFFERENTIATION_VTAR,MATCH(A105,PT_DIFFERENTIATION_VTAR_ID,0))</f>
        <v>Плата за услуги по поддержанию резервной тепловой мощности при отсутствии потребления тепловой энергии</v>
      </c>
      <c r="G105" s="3328" t="str">
        <f>INDEX(PT_DIFFERENTIATION_NTAR,MATCH(B105,PT_DIFFERENTIATION_NTAR_ID,0))</f>
        <v/>
      </c>
      <c r="H105" s="1776"/>
      <c r="I105" s="1655"/>
      <c r="J105" s="1689"/>
      <c r="K105" s="1694"/>
      <c r="L105" s="1776" t="s">
        <v>341</v>
      </c>
      <c r="M105" s="276"/>
      <c r="N105" s="269"/>
      <c r="O105" s="1541"/>
      <c r="P105" s="1541"/>
      <c r="AH105" s="1548">
        <v>0</v>
      </c>
    </row>
    <row r="106" spans="1:34" s="2004" customFormat="1" ht="18.75" hidden="1" customHeight="1">
      <c r="A106" s="1696"/>
      <c r="B106" s="1696"/>
      <c r="C106" s="303" t="s">
        <v>1178</v>
      </c>
      <c r="D106" s="3353"/>
      <c r="E106" s="3154"/>
      <c r="F106" s="3296"/>
      <c r="G106" s="3328"/>
      <c r="H106" s="1417"/>
      <c r="I106" s="585" t="s">
        <v>1177</v>
      </c>
      <c r="J106" s="505"/>
      <c r="K106" s="1417"/>
      <c r="L106" s="149"/>
      <c r="M106" s="276"/>
      <c r="N106" s="269"/>
      <c r="O106" s="1541"/>
      <c r="P106" s="1541"/>
      <c r="AH106" s="1548">
        <v>0</v>
      </c>
    </row>
    <row r="107" spans="1:34" s="2004" customFormat="1" ht="0.75" hidden="1" customHeight="1">
      <c r="A107" s="1696"/>
      <c r="B107" s="1696"/>
      <c r="C107" s="303" t="s">
        <v>1187</v>
      </c>
      <c r="D107" s="3353"/>
      <c r="E107" s="3154"/>
      <c r="F107" s="3296"/>
      <c r="G107" s="334"/>
      <c r="H107" s="1417"/>
      <c r="I107" s="585"/>
      <c r="J107" s="505"/>
      <c r="K107" s="1417"/>
      <c r="L107" s="149"/>
      <c r="M107" s="276"/>
      <c r="N107" s="269"/>
      <c r="O107" s="1541"/>
      <c r="P107" s="1541"/>
      <c r="AH107" s="1548">
        <v>0</v>
      </c>
    </row>
    <row r="108" spans="1:34" s="2004" customFormat="1" ht="18.75" hidden="1" customHeight="1">
      <c r="A108" s="1696" t="s">
        <v>234</v>
      </c>
      <c r="B108" s="1696" t="s">
        <v>235</v>
      </c>
      <c r="C108" s="303"/>
      <c r="D108" s="3353"/>
      <c r="E108" s="3154"/>
      <c r="F108" s="3296" t="str">
        <f>INDEX(PT_DIFFERENTIATION_VTAR,MATCH(A108,PT_DIFFERENTIATION_VTAR_ID,0))</f>
        <v>Плата за подключение (технологическое присоединение) к системе теплоснабжения</v>
      </c>
      <c r="G108" s="3328" t="str">
        <f>INDEX(PT_DIFFERENTIATION_NTAR,MATCH(B108,PT_DIFFERENTIATION_NTAR_ID,0))</f>
        <v/>
      </c>
      <c r="H108" s="1776"/>
      <c r="I108" s="1655"/>
      <c r="J108" s="1689"/>
      <c r="K108" s="1694"/>
      <c r="L108" s="1776" t="s">
        <v>341</v>
      </c>
      <c r="M108" s="276"/>
      <c r="N108" s="269"/>
      <c r="O108" s="1541"/>
      <c r="P108" s="1541"/>
      <c r="AH108" s="1548">
        <v>0</v>
      </c>
    </row>
    <row r="109" spans="1:34" s="2004" customFormat="1" ht="18.75" hidden="1" customHeight="1">
      <c r="A109" s="1696"/>
      <c r="B109" s="1696"/>
      <c r="C109" s="303" t="s">
        <v>1178</v>
      </c>
      <c r="D109" s="3353"/>
      <c r="E109" s="3154"/>
      <c r="F109" s="3296"/>
      <c r="G109" s="3328"/>
      <c r="H109" s="1417"/>
      <c r="I109" s="585" t="s">
        <v>1177</v>
      </c>
      <c r="J109" s="505"/>
      <c r="K109" s="1417"/>
      <c r="L109" s="149"/>
      <c r="M109" s="276"/>
      <c r="N109" s="269"/>
      <c r="O109" s="1541"/>
      <c r="P109" s="1541"/>
      <c r="AH109" s="1548">
        <v>0</v>
      </c>
    </row>
    <row r="110" spans="1:34" s="2004" customFormat="1" ht="0.75" hidden="1" customHeight="1">
      <c r="A110" s="1696"/>
      <c r="B110" s="1696"/>
      <c r="C110" s="303" t="s">
        <v>1187</v>
      </c>
      <c r="D110" s="3353"/>
      <c r="E110" s="3154"/>
      <c r="F110" s="3296"/>
      <c r="G110" s="334"/>
      <c r="H110" s="1417"/>
      <c r="I110" s="585"/>
      <c r="J110" s="505"/>
      <c r="K110" s="1417"/>
      <c r="L110" s="149"/>
      <c r="M110" s="276"/>
      <c r="N110" s="269"/>
      <c r="O110" s="1541"/>
      <c r="P110" s="1541"/>
      <c r="AH110" s="1548">
        <v>0</v>
      </c>
    </row>
    <row r="111" spans="1:34" s="2004" customFormat="1" ht="18.75" hidden="1" customHeight="1">
      <c r="A111" s="1696" t="s">
        <v>240</v>
      </c>
      <c r="B111" s="1696" t="s">
        <v>241</v>
      </c>
      <c r="C111" s="303"/>
      <c r="D111" s="3353"/>
      <c r="E111" s="3154"/>
      <c r="F111" s="3296" t="str">
        <f>INDEX(PT_DIFFERENTIATION_VTAR,MATCH(A111,PT_DIFFERENTIATION_VTAR_ID,0))</f>
        <v>Плата за подключение (технологическое присоединение) к системе теплоснабжения (индивидуальная)</v>
      </c>
      <c r="G111" s="3328" t="str">
        <f>INDEX(PT_DIFFERENTIATION_NTAR,MATCH(B111,PT_DIFFERENTIATION_NTAR_ID,0))</f>
        <v/>
      </c>
      <c r="H111" s="1900"/>
      <c r="I111" s="1655"/>
      <c r="J111" s="1689"/>
      <c r="K111" s="1694"/>
      <c r="L111" s="1900" t="s">
        <v>341</v>
      </c>
      <c r="M111" s="276"/>
      <c r="N111" s="269"/>
      <c r="O111" s="1541"/>
      <c r="P111" s="1541"/>
      <c r="AH111" s="1548">
        <v>0</v>
      </c>
    </row>
    <row r="112" spans="1:34" s="2004" customFormat="1" ht="18.75" hidden="1" customHeight="1">
      <c r="A112" s="1696"/>
      <c r="B112" s="1696"/>
      <c r="C112" s="303" t="s">
        <v>1178</v>
      </c>
      <c r="D112" s="3353"/>
      <c r="E112" s="3154"/>
      <c r="F112" s="3296"/>
      <c r="G112" s="3328"/>
      <c r="H112" s="1417"/>
      <c r="I112" s="585" t="s">
        <v>1177</v>
      </c>
      <c r="J112" s="505"/>
      <c r="K112" s="1417"/>
      <c r="L112" s="149"/>
      <c r="M112" s="276"/>
      <c r="N112" s="269"/>
      <c r="O112" s="1541"/>
      <c r="P112" s="1541"/>
      <c r="AH112" s="1548">
        <v>0</v>
      </c>
    </row>
    <row r="113" spans="1:34" s="2004" customFormat="1" ht="0.75" hidden="1" customHeight="1">
      <c r="A113" s="1696"/>
      <c r="B113" s="1696"/>
      <c r="C113" s="303" t="s">
        <v>1187</v>
      </c>
      <c r="D113" s="3353"/>
      <c r="E113" s="3154"/>
      <c r="F113" s="3296"/>
      <c r="G113" s="334"/>
      <c r="H113" s="1417"/>
      <c r="I113" s="585"/>
      <c r="J113" s="505"/>
      <c r="K113" s="1417"/>
      <c r="L113" s="149"/>
      <c r="M113" s="276"/>
      <c r="N113" s="269"/>
      <c r="O113" s="1541"/>
      <c r="P113" s="1541"/>
      <c r="AH113" s="1548">
        <v>0</v>
      </c>
    </row>
    <row r="114" spans="1:34" s="2004" customFormat="1" ht="18.75" hidden="1" customHeight="1">
      <c r="A114" s="1696" t="s">
        <v>260</v>
      </c>
      <c r="B114" s="1696" t="s">
        <v>261</v>
      </c>
      <c r="C114" s="303"/>
      <c r="D114" s="3353"/>
      <c r="E114" s="3154"/>
      <c r="F114" s="3296" t="str">
        <f>INDEX(PT_DIFFERENTIATION_VTAR,MATCH(A114,PT_DIFFERENTIATION_VTAR_ID,0))</f>
        <v>Тариф на питьевую воду (питьевое водоснабжение)</v>
      </c>
      <c r="G114" s="3328" t="str">
        <f>INDEX(PT_DIFFERENTIATION_NTAR,MATCH(B114,PT_DIFFERENTIATION_NTAR_ID,0))</f>
        <v/>
      </c>
      <c r="H114" s="1776"/>
      <c r="I114" s="1655"/>
      <c r="J114" s="1689"/>
      <c r="K114" s="1694"/>
      <c r="L114" s="1776" t="s">
        <v>341</v>
      </c>
      <c r="M114" s="276"/>
      <c r="N114" s="269"/>
      <c r="O114" s="1541"/>
      <c r="P114" s="1541"/>
      <c r="AH114" s="1548">
        <v>0</v>
      </c>
    </row>
    <row r="115" spans="1:34" s="2004" customFormat="1" ht="18.75" hidden="1" customHeight="1">
      <c r="A115" s="1696"/>
      <c r="B115" s="1696"/>
      <c r="C115" s="303" t="s">
        <v>1178</v>
      </c>
      <c r="D115" s="3353"/>
      <c r="E115" s="3154"/>
      <c r="F115" s="3296"/>
      <c r="G115" s="3328"/>
      <c r="H115" s="1417"/>
      <c r="I115" s="585" t="s">
        <v>1177</v>
      </c>
      <c r="J115" s="505"/>
      <c r="K115" s="1417"/>
      <c r="L115" s="149"/>
      <c r="M115" s="276"/>
      <c r="N115" s="269"/>
      <c r="O115" s="1541"/>
      <c r="P115" s="1541"/>
      <c r="AH115" s="1548">
        <v>0</v>
      </c>
    </row>
    <row r="116" spans="1:34" s="2004" customFormat="1" ht="0.75" hidden="1" customHeight="1">
      <c r="A116" s="1696"/>
      <c r="B116" s="1696"/>
      <c r="C116" s="303" t="s">
        <v>1187</v>
      </c>
      <c r="D116" s="3353"/>
      <c r="E116" s="3154"/>
      <c r="F116" s="3296"/>
      <c r="G116" s="334"/>
      <c r="H116" s="1417"/>
      <c r="I116" s="585"/>
      <c r="J116" s="505"/>
      <c r="K116" s="1417"/>
      <c r="L116" s="149"/>
      <c r="M116" s="276"/>
      <c r="N116" s="269"/>
      <c r="O116" s="1541"/>
      <c r="P116" s="1541"/>
      <c r="AH116" s="1548">
        <v>0</v>
      </c>
    </row>
    <row r="117" spans="1:34" s="2004" customFormat="1" ht="18.75" hidden="1" customHeight="1">
      <c r="A117" s="1696" t="s">
        <v>265</v>
      </c>
      <c r="B117" s="1696" t="s">
        <v>266</v>
      </c>
      <c r="C117" s="303"/>
      <c r="D117" s="3353"/>
      <c r="E117" s="3154"/>
      <c r="F117" s="3296" t="str">
        <f>INDEX(PT_DIFFERENTIATION_VTAR,MATCH(A117,PT_DIFFERENTIATION_VTAR_ID,0))</f>
        <v>Тариф на техническую воду</v>
      </c>
      <c r="G117" s="3328" t="str">
        <f>INDEX(PT_DIFFERENTIATION_NTAR,MATCH(B117,PT_DIFFERENTIATION_NTAR_ID,0))</f>
        <v/>
      </c>
      <c r="H117" s="1776"/>
      <c r="I117" s="1655"/>
      <c r="J117" s="1689"/>
      <c r="K117" s="1694"/>
      <c r="L117" s="1776" t="s">
        <v>341</v>
      </c>
      <c r="M117" s="276"/>
      <c r="N117" s="269"/>
      <c r="O117" s="1541"/>
      <c r="P117" s="1541"/>
      <c r="AH117" s="1548">
        <v>0</v>
      </c>
    </row>
    <row r="118" spans="1:34" s="2004" customFormat="1" ht="18.75" hidden="1" customHeight="1">
      <c r="A118" s="1696"/>
      <c r="B118" s="1696"/>
      <c r="C118" s="303" t="s">
        <v>1178</v>
      </c>
      <c r="D118" s="3353"/>
      <c r="E118" s="3154"/>
      <c r="F118" s="3296"/>
      <c r="G118" s="3328"/>
      <c r="H118" s="1417"/>
      <c r="I118" s="585" t="s">
        <v>1177</v>
      </c>
      <c r="J118" s="505"/>
      <c r="K118" s="1417"/>
      <c r="L118" s="149"/>
      <c r="M118" s="276"/>
      <c r="N118" s="269"/>
      <c r="O118" s="1541"/>
      <c r="P118" s="1541"/>
      <c r="AH118" s="1548">
        <v>0</v>
      </c>
    </row>
    <row r="119" spans="1:34" s="2004" customFormat="1" ht="0.75" hidden="1" customHeight="1">
      <c r="A119" s="1696"/>
      <c r="B119" s="1696"/>
      <c r="C119" s="303" t="s">
        <v>1187</v>
      </c>
      <c r="D119" s="3353"/>
      <c r="E119" s="3154"/>
      <c r="F119" s="3296"/>
      <c r="G119" s="334"/>
      <c r="H119" s="1417"/>
      <c r="I119" s="585"/>
      <c r="J119" s="505"/>
      <c r="K119" s="1417"/>
      <c r="L119" s="149"/>
      <c r="M119" s="276"/>
      <c r="N119" s="269"/>
      <c r="O119" s="1541"/>
      <c r="P119" s="1541"/>
      <c r="AH119" s="1548">
        <v>0</v>
      </c>
    </row>
    <row r="120" spans="1:34" s="2004" customFormat="1" ht="18.75" hidden="1" customHeight="1">
      <c r="A120" s="1696" t="s">
        <v>270</v>
      </c>
      <c r="B120" s="1696" t="s">
        <v>271</v>
      </c>
      <c r="C120" s="303"/>
      <c r="D120" s="3353"/>
      <c r="E120" s="3154"/>
      <c r="F120" s="3296" t="str">
        <f>INDEX(PT_DIFFERENTIATION_VTAR,MATCH(A120,PT_DIFFERENTIATION_VTAR_ID,0))</f>
        <v>Тариф на транспортировку воды</v>
      </c>
      <c r="G120" s="3328" t="str">
        <f>INDEX(PT_DIFFERENTIATION_NTAR,MATCH(B120,PT_DIFFERENTIATION_NTAR_ID,0))</f>
        <v/>
      </c>
      <c r="H120" s="1776"/>
      <c r="I120" s="1655"/>
      <c r="J120" s="1689"/>
      <c r="K120" s="1694"/>
      <c r="L120" s="1776" t="s">
        <v>341</v>
      </c>
      <c r="M120" s="276"/>
      <c r="N120" s="269"/>
      <c r="O120" s="1541"/>
      <c r="P120" s="1541"/>
      <c r="AH120" s="1548">
        <v>0</v>
      </c>
    </row>
    <row r="121" spans="1:34" s="2004" customFormat="1" ht="18.75" hidden="1" customHeight="1">
      <c r="A121" s="1696"/>
      <c r="B121" s="1696"/>
      <c r="C121" s="303" t="s">
        <v>1178</v>
      </c>
      <c r="D121" s="3353"/>
      <c r="E121" s="3154"/>
      <c r="F121" s="3296"/>
      <c r="G121" s="3328"/>
      <c r="H121" s="1417"/>
      <c r="I121" s="585" t="s">
        <v>1177</v>
      </c>
      <c r="J121" s="505"/>
      <c r="K121" s="1417"/>
      <c r="L121" s="149"/>
      <c r="M121" s="276"/>
      <c r="N121" s="269"/>
      <c r="O121" s="1541"/>
      <c r="P121" s="1541"/>
      <c r="AH121" s="1548">
        <v>0</v>
      </c>
    </row>
    <row r="122" spans="1:34" s="2004" customFormat="1" ht="0.75" hidden="1" customHeight="1">
      <c r="A122" s="1696"/>
      <c r="B122" s="1696"/>
      <c r="C122" s="303" t="s">
        <v>1187</v>
      </c>
      <c r="D122" s="3353"/>
      <c r="E122" s="3154"/>
      <c r="F122" s="3296"/>
      <c r="G122" s="334"/>
      <c r="H122" s="1417"/>
      <c r="I122" s="585"/>
      <c r="J122" s="505"/>
      <c r="K122" s="1417"/>
      <c r="L122" s="149"/>
      <c r="M122" s="276"/>
      <c r="N122" s="269"/>
      <c r="O122" s="1541"/>
      <c r="P122" s="1541"/>
      <c r="AH122" s="1548">
        <v>0</v>
      </c>
    </row>
    <row r="123" spans="1:34" s="2004" customFormat="1" ht="18.75" hidden="1" customHeight="1">
      <c r="A123" s="1696" t="s">
        <v>275</v>
      </c>
      <c r="B123" s="1696" t="s">
        <v>276</v>
      </c>
      <c r="C123" s="303"/>
      <c r="D123" s="3353"/>
      <c r="E123" s="3154"/>
      <c r="F123" s="3296" t="str">
        <f>INDEX(PT_DIFFERENTIATION_VTAR,MATCH(A123,PT_DIFFERENTIATION_VTAR_ID,0))</f>
        <v>Тариф на подвоз воды</v>
      </c>
      <c r="G123" s="3328" t="str">
        <f>INDEX(PT_DIFFERENTIATION_NTAR,MATCH(B123,PT_DIFFERENTIATION_NTAR_ID,0))</f>
        <v/>
      </c>
      <c r="H123" s="1776"/>
      <c r="I123" s="1655"/>
      <c r="J123" s="1689"/>
      <c r="K123" s="1694"/>
      <c r="L123" s="1776" t="s">
        <v>341</v>
      </c>
      <c r="M123" s="276"/>
      <c r="N123" s="269"/>
      <c r="O123" s="1541"/>
      <c r="P123" s="1541"/>
      <c r="AH123" s="1548">
        <v>0</v>
      </c>
    </row>
    <row r="124" spans="1:34" s="2004" customFormat="1" ht="18.75" hidden="1" customHeight="1">
      <c r="A124" s="1696"/>
      <c r="B124" s="1696"/>
      <c r="C124" s="303" t="s">
        <v>1178</v>
      </c>
      <c r="D124" s="3353"/>
      <c r="E124" s="3154"/>
      <c r="F124" s="3296"/>
      <c r="G124" s="3328"/>
      <c r="H124" s="1417"/>
      <c r="I124" s="585" t="s">
        <v>1177</v>
      </c>
      <c r="J124" s="505"/>
      <c r="K124" s="1417"/>
      <c r="L124" s="149"/>
      <c r="M124" s="276"/>
      <c r="N124" s="269"/>
      <c r="O124" s="1541"/>
      <c r="P124" s="1541"/>
      <c r="AH124" s="1548">
        <v>0</v>
      </c>
    </row>
    <row r="125" spans="1:34" s="2004" customFormat="1" ht="0.75" hidden="1" customHeight="1">
      <c r="A125" s="1696"/>
      <c r="B125" s="1696"/>
      <c r="C125" s="303" t="s">
        <v>1187</v>
      </c>
      <c r="D125" s="3353"/>
      <c r="E125" s="3154"/>
      <c r="F125" s="3296"/>
      <c r="G125" s="334"/>
      <c r="H125" s="1417"/>
      <c r="I125" s="585"/>
      <c r="J125" s="505"/>
      <c r="K125" s="1417"/>
      <c r="L125" s="149"/>
      <c r="M125" s="276"/>
      <c r="N125" s="269"/>
      <c r="O125" s="1541"/>
      <c r="P125" s="1541"/>
      <c r="AH125" s="1548">
        <v>0</v>
      </c>
    </row>
    <row r="126" spans="1:34" s="2004" customFormat="1" ht="18.75" hidden="1" customHeight="1">
      <c r="A126" s="1696" t="s">
        <v>280</v>
      </c>
      <c r="B126" s="1696" t="s">
        <v>281</v>
      </c>
      <c r="C126" s="303"/>
      <c r="D126" s="3353"/>
      <c r="E126" s="3154"/>
      <c r="F126" s="3296"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3328" t="str">
        <f>INDEX(PT_DIFFERENTIATION_NTAR,MATCH(B126,PT_DIFFERENTIATION_NTAR_ID,0))</f>
        <v/>
      </c>
      <c r="H126" s="1776"/>
      <c r="I126" s="1655"/>
      <c r="J126" s="1689"/>
      <c r="K126" s="1694"/>
      <c r="L126" s="1776" t="s">
        <v>341</v>
      </c>
      <c r="M126" s="276"/>
      <c r="N126" s="269"/>
      <c r="O126" s="1541"/>
      <c r="P126" s="1541"/>
      <c r="AH126" s="1548">
        <v>0</v>
      </c>
    </row>
    <row r="127" spans="1:34" s="2004" customFormat="1" ht="18.75" hidden="1" customHeight="1">
      <c r="A127" s="1696"/>
      <c r="B127" s="1696"/>
      <c r="C127" s="303" t="s">
        <v>1178</v>
      </c>
      <c r="D127" s="3353"/>
      <c r="E127" s="3154"/>
      <c r="F127" s="3296"/>
      <c r="G127" s="3328"/>
      <c r="H127" s="1417"/>
      <c r="I127" s="585" t="s">
        <v>1177</v>
      </c>
      <c r="J127" s="505"/>
      <c r="K127" s="1417"/>
      <c r="L127" s="149"/>
      <c r="M127" s="276"/>
      <c r="N127" s="269"/>
      <c r="O127" s="1541"/>
      <c r="P127" s="1541"/>
      <c r="AH127" s="1548">
        <v>0</v>
      </c>
    </row>
    <row r="128" spans="1:34" s="2004" customFormat="1" ht="0.75" hidden="1" customHeight="1">
      <c r="A128" s="1696"/>
      <c r="B128" s="1696"/>
      <c r="C128" s="303" t="s">
        <v>1187</v>
      </c>
      <c r="D128" s="3353"/>
      <c r="E128" s="3154"/>
      <c r="F128" s="3296"/>
      <c r="G128" s="334"/>
      <c r="H128" s="1417"/>
      <c r="I128" s="585"/>
      <c r="J128" s="505"/>
      <c r="K128" s="1417"/>
      <c r="L128" s="149"/>
      <c r="M128" s="276"/>
      <c r="N128" s="269"/>
      <c r="O128" s="1541"/>
      <c r="P128" s="1541"/>
      <c r="AH128" s="1548">
        <v>0</v>
      </c>
    </row>
    <row r="129" spans="1:34" s="2004" customFormat="1" ht="18.75" hidden="1" customHeight="1">
      <c r="A129" s="1696" t="s">
        <v>285</v>
      </c>
      <c r="B129" s="1696" t="s">
        <v>286</v>
      </c>
      <c r="C129" s="303"/>
      <c r="D129" s="3353"/>
      <c r="E129" s="3154"/>
      <c r="F129" s="3296" t="str">
        <f>INDEX(PT_DIFFERENTIATION_VTAR,MATCH(A129,PT_DIFFERENTIATION_VTAR_ID,0))</f>
        <v>Тариф на горячую воду (горячее водоснабжение)</v>
      </c>
      <c r="G129" s="3328" t="str">
        <f>INDEX(PT_DIFFERENTIATION_NTAR,MATCH(B129,PT_DIFFERENTIATION_NTAR_ID,0))</f>
        <v/>
      </c>
      <c r="H129" s="1776"/>
      <c r="I129" s="1655"/>
      <c r="J129" s="1689"/>
      <c r="K129" s="1694"/>
      <c r="L129" s="1776" t="s">
        <v>341</v>
      </c>
      <c r="M129" s="276"/>
      <c r="N129" s="269"/>
      <c r="O129" s="1541"/>
      <c r="P129" s="1541"/>
      <c r="AH129" s="1548">
        <v>0</v>
      </c>
    </row>
    <row r="130" spans="1:34" s="2004" customFormat="1" ht="18.75" hidden="1" customHeight="1">
      <c r="A130" s="1696"/>
      <c r="B130" s="1696"/>
      <c r="C130" s="303" t="s">
        <v>1178</v>
      </c>
      <c r="D130" s="3353"/>
      <c r="E130" s="3154"/>
      <c r="F130" s="3296"/>
      <c r="G130" s="3328"/>
      <c r="H130" s="1417"/>
      <c r="I130" s="585" t="s">
        <v>1177</v>
      </c>
      <c r="J130" s="505"/>
      <c r="K130" s="1417"/>
      <c r="L130" s="149"/>
      <c r="M130" s="276"/>
      <c r="N130" s="269"/>
      <c r="O130" s="1541"/>
      <c r="P130" s="1541"/>
      <c r="AH130" s="1548">
        <v>0</v>
      </c>
    </row>
    <row r="131" spans="1:34" s="2004" customFormat="1" ht="0.75" hidden="1" customHeight="1">
      <c r="A131" s="1696"/>
      <c r="B131" s="1696"/>
      <c r="C131" s="303" t="s">
        <v>1187</v>
      </c>
      <c r="D131" s="3353"/>
      <c r="E131" s="3154"/>
      <c r="F131" s="3296"/>
      <c r="G131" s="334"/>
      <c r="H131" s="1417"/>
      <c r="I131" s="585"/>
      <c r="J131" s="505"/>
      <c r="K131" s="1417"/>
      <c r="L131" s="149"/>
      <c r="M131" s="276"/>
      <c r="N131" s="269"/>
      <c r="O131" s="1541"/>
      <c r="P131" s="1541"/>
      <c r="AH131" s="1548">
        <v>0</v>
      </c>
    </row>
    <row r="132" spans="1:34" s="2004" customFormat="1" ht="18.75" hidden="1" customHeight="1">
      <c r="A132" s="1696" t="s">
        <v>290</v>
      </c>
      <c r="B132" s="1696" t="s">
        <v>291</v>
      </c>
      <c r="C132" s="303"/>
      <c r="D132" s="3353"/>
      <c r="E132" s="3154"/>
      <c r="F132" s="3296" t="str">
        <f>INDEX(PT_DIFFERENTIATION_VTAR,MATCH(A132,PT_DIFFERENTIATION_VTAR_ID,0))</f>
        <v>Тариф на транспортировку горячей воды</v>
      </c>
      <c r="G132" s="3328" t="str">
        <f>INDEX(PT_DIFFERENTIATION_NTAR,MATCH(B132,PT_DIFFERENTIATION_NTAR_ID,0))</f>
        <v/>
      </c>
      <c r="H132" s="1776"/>
      <c r="I132" s="1655"/>
      <c r="J132" s="1689"/>
      <c r="K132" s="1694"/>
      <c r="L132" s="1776" t="s">
        <v>341</v>
      </c>
      <c r="M132" s="276"/>
      <c r="N132" s="269"/>
      <c r="O132" s="1541"/>
      <c r="P132" s="1541"/>
      <c r="AH132" s="1548">
        <v>0</v>
      </c>
    </row>
    <row r="133" spans="1:34" s="2004" customFormat="1" ht="18.75" hidden="1" customHeight="1">
      <c r="A133" s="1696"/>
      <c r="B133" s="1696"/>
      <c r="C133" s="303" t="s">
        <v>1178</v>
      </c>
      <c r="D133" s="3353"/>
      <c r="E133" s="3154"/>
      <c r="F133" s="3296"/>
      <c r="G133" s="3328"/>
      <c r="H133" s="1417"/>
      <c r="I133" s="585" t="s">
        <v>1177</v>
      </c>
      <c r="J133" s="505"/>
      <c r="K133" s="1417"/>
      <c r="L133" s="149"/>
      <c r="M133" s="276"/>
      <c r="N133" s="269"/>
      <c r="O133" s="1541"/>
      <c r="P133" s="1541"/>
      <c r="AH133" s="1548">
        <v>0</v>
      </c>
    </row>
    <row r="134" spans="1:34" s="2004" customFormat="1" ht="0.75" hidden="1" customHeight="1">
      <c r="A134" s="1696"/>
      <c r="B134" s="1696"/>
      <c r="C134" s="303" t="s">
        <v>1187</v>
      </c>
      <c r="D134" s="3353"/>
      <c r="E134" s="3154"/>
      <c r="F134" s="3296"/>
      <c r="G134" s="334"/>
      <c r="H134" s="1417"/>
      <c r="I134" s="585"/>
      <c r="J134" s="505"/>
      <c r="K134" s="1417"/>
      <c r="L134" s="149"/>
      <c r="M134" s="276"/>
      <c r="N134" s="269"/>
      <c r="O134" s="1541"/>
      <c r="P134" s="1541"/>
      <c r="AH134" s="1548">
        <v>0</v>
      </c>
    </row>
    <row r="135" spans="1:34" s="2004" customFormat="1" ht="18.75" hidden="1" customHeight="1">
      <c r="A135" s="1696" t="s">
        <v>295</v>
      </c>
      <c r="B135" s="1696" t="s">
        <v>296</v>
      </c>
      <c r="C135" s="303"/>
      <c r="D135" s="3353"/>
      <c r="E135" s="3154"/>
      <c r="F135" s="3296" t="str">
        <f>INDEX(PT_DIFFERENTIATION_VTAR,MATCH(A135,PT_DIFFERENTIATION_VTAR_ID,0))</f>
        <v>Тариф на подключение (технологическое присоединение) к централизованной системе горячего водоснабжения</v>
      </c>
      <c r="G135" s="3328" t="str">
        <f>INDEX(PT_DIFFERENTIATION_NTAR,MATCH(B135,PT_DIFFERENTIATION_NTAR_ID,0))</f>
        <v/>
      </c>
      <c r="H135" s="1776"/>
      <c r="I135" s="1655"/>
      <c r="J135" s="1689"/>
      <c r="K135" s="1694"/>
      <c r="L135" s="1776" t="s">
        <v>341</v>
      </c>
      <c r="M135" s="276"/>
      <c r="N135" s="269"/>
      <c r="O135" s="1541"/>
      <c r="P135" s="1541"/>
      <c r="AH135" s="1548">
        <v>0</v>
      </c>
    </row>
    <row r="136" spans="1:34" s="2004" customFormat="1" ht="18.75" hidden="1" customHeight="1">
      <c r="A136" s="1696"/>
      <c r="B136" s="1696"/>
      <c r="C136" s="303" t="s">
        <v>1178</v>
      </c>
      <c r="D136" s="3353"/>
      <c r="E136" s="3154"/>
      <c r="F136" s="3296"/>
      <c r="G136" s="3328"/>
      <c r="H136" s="1417"/>
      <c r="I136" s="585" t="s">
        <v>1177</v>
      </c>
      <c r="J136" s="505"/>
      <c r="K136" s="1417"/>
      <c r="L136" s="149"/>
      <c r="M136" s="276"/>
      <c r="N136" s="269"/>
      <c r="O136" s="1541"/>
      <c r="P136" s="1541"/>
      <c r="AH136" s="1548">
        <v>0</v>
      </c>
    </row>
    <row r="137" spans="1:34" s="2004" customFormat="1" ht="0.75" hidden="1" customHeight="1">
      <c r="A137" s="1696"/>
      <c r="B137" s="1696"/>
      <c r="C137" s="303" t="s">
        <v>1187</v>
      </c>
      <c r="D137" s="3353"/>
      <c r="E137" s="3154"/>
      <c r="F137" s="3296"/>
      <c r="G137" s="334"/>
      <c r="H137" s="1417"/>
      <c r="I137" s="585"/>
      <c r="J137" s="505"/>
      <c r="K137" s="1417"/>
      <c r="L137" s="149"/>
      <c r="M137" s="276"/>
      <c r="N137" s="269"/>
      <c r="O137" s="1541"/>
      <c r="P137" s="1541"/>
      <c r="AH137" s="1548">
        <v>0</v>
      </c>
    </row>
    <row r="138" spans="1:34" s="2004" customFormat="1" ht="18.75" hidden="1" customHeight="1">
      <c r="A138" s="1696" t="s">
        <v>300</v>
      </c>
      <c r="B138" s="1696" t="s">
        <v>301</v>
      </c>
      <c r="C138" s="303"/>
      <c r="D138" s="3353"/>
      <c r="E138" s="3154"/>
      <c r="F138" s="3296" t="str">
        <f>INDEX(PT_DIFFERENTIATION_VTAR,MATCH(A138,PT_DIFFERENTIATION_VTAR_ID,0))</f>
        <v>Тариф на водоотведение</v>
      </c>
      <c r="G138" s="3328" t="str">
        <f>INDEX(PT_DIFFERENTIATION_NTAR,MATCH(B138,PT_DIFFERENTIATION_NTAR_ID,0))</f>
        <v/>
      </c>
      <c r="H138" s="1776"/>
      <c r="I138" s="1655"/>
      <c r="J138" s="1689"/>
      <c r="K138" s="1694"/>
      <c r="L138" s="1776" t="s">
        <v>341</v>
      </c>
      <c r="M138" s="276"/>
      <c r="N138" s="269"/>
      <c r="O138" s="1541"/>
      <c r="P138" s="1541"/>
      <c r="AH138" s="1548">
        <v>0</v>
      </c>
    </row>
    <row r="139" spans="1:34" s="2004" customFormat="1" ht="18.75" hidden="1" customHeight="1">
      <c r="A139" s="1696"/>
      <c r="B139" s="1696"/>
      <c r="C139" s="303" t="s">
        <v>1178</v>
      </c>
      <c r="D139" s="3353"/>
      <c r="E139" s="3154"/>
      <c r="F139" s="3296"/>
      <c r="G139" s="3328"/>
      <c r="H139" s="1417"/>
      <c r="I139" s="585" t="s">
        <v>1177</v>
      </c>
      <c r="J139" s="505"/>
      <c r="K139" s="1417"/>
      <c r="L139" s="149"/>
      <c r="M139" s="276"/>
      <c r="N139" s="269"/>
      <c r="O139" s="1541"/>
      <c r="P139" s="1541"/>
      <c r="AH139" s="1548">
        <v>0</v>
      </c>
    </row>
    <row r="140" spans="1:34" s="2004" customFormat="1" ht="0.75" hidden="1" customHeight="1">
      <c r="A140" s="1696"/>
      <c r="B140" s="1696"/>
      <c r="C140" s="303" t="s">
        <v>1187</v>
      </c>
      <c r="D140" s="3353"/>
      <c r="E140" s="3154"/>
      <c r="F140" s="3296"/>
      <c r="G140" s="334"/>
      <c r="H140" s="1417"/>
      <c r="I140" s="585"/>
      <c r="J140" s="505"/>
      <c r="K140" s="1417"/>
      <c r="L140" s="149"/>
      <c r="M140" s="276"/>
      <c r="N140" s="269"/>
      <c r="O140" s="1541"/>
      <c r="P140" s="1541"/>
      <c r="AH140" s="1548">
        <v>0</v>
      </c>
    </row>
    <row r="141" spans="1:34" s="2004" customFormat="1" ht="18.75" hidden="1" customHeight="1">
      <c r="A141" s="1696" t="s">
        <v>305</v>
      </c>
      <c r="B141" s="1696" t="s">
        <v>306</v>
      </c>
      <c r="C141" s="303"/>
      <c r="D141" s="3353"/>
      <c r="E141" s="3154"/>
      <c r="F141" s="3296" t="str">
        <f>INDEX(PT_DIFFERENTIATION_VTAR,MATCH(A141,PT_DIFFERENTIATION_VTAR_ID,0))</f>
        <v>Тариф на транспортировку сточных вод</v>
      </c>
      <c r="G141" s="3328" t="str">
        <f>INDEX(PT_DIFFERENTIATION_NTAR,MATCH(B141,PT_DIFFERENTIATION_NTAR_ID,0))</f>
        <v/>
      </c>
      <c r="H141" s="1776"/>
      <c r="I141" s="1655"/>
      <c r="J141" s="1689"/>
      <c r="K141" s="1694"/>
      <c r="L141" s="1776" t="s">
        <v>341</v>
      </c>
      <c r="M141" s="276"/>
      <c r="N141" s="269"/>
      <c r="O141" s="1541"/>
      <c r="P141" s="1541"/>
      <c r="AH141" s="1548">
        <v>0</v>
      </c>
    </row>
    <row r="142" spans="1:34" s="2004" customFormat="1" ht="18.75" hidden="1" customHeight="1">
      <c r="A142" s="1696"/>
      <c r="B142" s="1696"/>
      <c r="C142" s="303" t="s">
        <v>1178</v>
      </c>
      <c r="D142" s="3353"/>
      <c r="E142" s="3154"/>
      <c r="F142" s="3296"/>
      <c r="G142" s="3328"/>
      <c r="H142" s="1417"/>
      <c r="I142" s="585" t="s">
        <v>1177</v>
      </c>
      <c r="J142" s="505"/>
      <c r="K142" s="1417"/>
      <c r="L142" s="149"/>
      <c r="M142" s="276"/>
      <c r="N142" s="269"/>
      <c r="O142" s="1541"/>
      <c r="P142" s="1541"/>
      <c r="AH142" s="1548">
        <v>0</v>
      </c>
    </row>
    <row r="143" spans="1:34" s="2004" customFormat="1" ht="0.75" hidden="1" customHeight="1">
      <c r="A143" s="1696"/>
      <c r="B143" s="1696"/>
      <c r="C143" s="303" t="s">
        <v>1187</v>
      </c>
      <c r="D143" s="3353"/>
      <c r="E143" s="3154"/>
      <c r="F143" s="3296"/>
      <c r="G143" s="334"/>
      <c r="H143" s="1417"/>
      <c r="I143" s="585"/>
      <c r="J143" s="505"/>
      <c r="K143" s="1417"/>
      <c r="L143" s="149"/>
      <c r="M143" s="276"/>
      <c r="N143" s="269"/>
      <c r="O143" s="1541"/>
      <c r="P143" s="1541"/>
      <c r="AH143" s="1548">
        <v>0</v>
      </c>
    </row>
    <row r="144" spans="1:34" s="2004" customFormat="1" ht="18.75" hidden="1" customHeight="1">
      <c r="A144" s="1696" t="s">
        <v>310</v>
      </c>
      <c r="B144" s="1696" t="s">
        <v>311</v>
      </c>
      <c r="C144" s="303"/>
      <c r="D144" s="3353"/>
      <c r="E144" s="3154"/>
      <c r="F144" s="3296" t="str">
        <f>INDEX(PT_DIFFERENTIATION_VTAR,MATCH(A144,PT_DIFFERENTIATION_VTAR_ID,0))</f>
        <v>Тариф на подключение (технологическое присоединение) к централизованной системе водоотведения</v>
      </c>
      <c r="G144" s="3328" t="str">
        <f>INDEX(PT_DIFFERENTIATION_NTAR,MATCH(B144,PT_DIFFERENTIATION_NTAR_ID,0))</f>
        <v/>
      </c>
      <c r="H144" s="1776"/>
      <c r="I144" s="1655"/>
      <c r="J144" s="1689"/>
      <c r="K144" s="1694"/>
      <c r="L144" s="1776" t="s">
        <v>341</v>
      </c>
      <c r="M144" s="276"/>
      <c r="N144" s="269"/>
      <c r="O144" s="1541"/>
      <c r="P144" s="1541"/>
      <c r="AH144" s="1548">
        <v>0</v>
      </c>
    </row>
    <row r="145" spans="1:34" s="2004" customFormat="1" ht="18.75" hidden="1" customHeight="1">
      <c r="A145" s="1696"/>
      <c r="B145" s="1696"/>
      <c r="C145" s="303" t="s">
        <v>1178</v>
      </c>
      <c r="D145" s="3353"/>
      <c r="E145" s="3154"/>
      <c r="F145" s="3296"/>
      <c r="G145" s="3328"/>
      <c r="H145" s="1417"/>
      <c r="I145" s="585" t="s">
        <v>1177</v>
      </c>
      <c r="J145" s="505"/>
      <c r="K145" s="1417"/>
      <c r="L145" s="149"/>
      <c r="M145" s="276"/>
      <c r="N145" s="269"/>
      <c r="O145" s="1541"/>
      <c r="P145" s="1541"/>
      <c r="AH145" s="1548">
        <v>0</v>
      </c>
    </row>
    <row r="146" spans="1:34" s="2004" customFormat="1" ht="1" customHeight="1">
      <c r="A146" s="1696"/>
      <c r="B146" s="1696"/>
      <c r="C146" s="303" t="s">
        <v>1187</v>
      </c>
      <c r="D146" s="3353"/>
      <c r="E146" s="3154"/>
      <c r="F146" s="3296"/>
      <c r="G146" s="334"/>
      <c r="H146" s="1417"/>
      <c r="I146" s="585"/>
      <c r="J146" s="505"/>
      <c r="K146" s="1417"/>
      <c r="L146" s="149"/>
      <c r="M146" s="276"/>
      <c r="N146" s="269"/>
      <c r="O146" s="1541"/>
      <c r="P146" s="1541"/>
      <c r="AH146" s="1548">
        <v>1</v>
      </c>
    </row>
    <row r="147" spans="1:34" ht="20" customHeight="1">
      <c r="A147" s="1696"/>
      <c r="B147" s="1696"/>
      <c r="D147" s="310"/>
      <c r="E147" s="83" t="s">
        <v>92</v>
      </c>
      <c r="F147" s="3352"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3352"/>
      <c r="H147" s="3352"/>
      <c r="I147" s="3352"/>
      <c r="J147" s="3352"/>
      <c r="K147" s="3352"/>
      <c r="L147" s="3352"/>
      <c r="M147" s="232"/>
      <c r="N147" s="269"/>
      <c r="AH147" s="308">
        <v>19</v>
      </c>
    </row>
    <row r="148" spans="1:34" s="2004" customFormat="1" ht="60.75" hidden="1" customHeight="1">
      <c r="A148" s="1696" t="s">
        <v>168</v>
      </c>
      <c r="B148" s="1696" t="s">
        <v>169</v>
      </c>
      <c r="C148" s="303"/>
      <c r="D148" s="3353"/>
      <c r="E148" s="3154"/>
      <c r="F148" s="3296"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3328" t="str">
        <f>INDEX(PT_DIFFERENTIATION_NTAR,MATCH(B148,PT_DIFFERENTIATION_NTAR_ID,0))</f>
        <v/>
      </c>
      <c r="H148" s="1776"/>
      <c r="I148" s="1655"/>
      <c r="J148" s="1689"/>
      <c r="K148" s="1694"/>
      <c r="L148" s="1776" t="s">
        <v>341</v>
      </c>
      <c r="M148" s="3124"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269"/>
      <c r="O148" s="1541"/>
      <c r="P148" s="1541"/>
      <c r="AH148" s="1548">
        <v>0</v>
      </c>
    </row>
    <row r="149" spans="1:34" s="2004" customFormat="1" ht="18.75" hidden="1" customHeight="1">
      <c r="A149" s="1696"/>
      <c r="B149" s="1696"/>
      <c r="C149" s="303" t="s">
        <v>1178</v>
      </c>
      <c r="D149" s="3353"/>
      <c r="E149" s="3154"/>
      <c r="F149" s="3296"/>
      <c r="G149" s="3328"/>
      <c r="H149" s="1417"/>
      <c r="I149" s="585" t="s">
        <v>1177</v>
      </c>
      <c r="J149" s="505"/>
      <c r="K149" s="1417"/>
      <c r="L149" s="149"/>
      <c r="M149" s="3125"/>
      <c r="N149" s="269"/>
      <c r="O149" s="1541"/>
      <c r="P149" s="1541"/>
      <c r="AH149" s="1548">
        <v>0</v>
      </c>
    </row>
    <row r="150" spans="1:34" s="2004" customFormat="1" ht="0.75" hidden="1" customHeight="1">
      <c r="A150" s="1696"/>
      <c r="B150" s="1696"/>
      <c r="C150" s="303" t="s">
        <v>1187</v>
      </c>
      <c r="D150" s="3353"/>
      <c r="E150" s="3154"/>
      <c r="F150" s="3296"/>
      <c r="G150" s="334"/>
      <c r="H150" s="1417"/>
      <c r="I150" s="585"/>
      <c r="J150" s="505"/>
      <c r="K150" s="1417"/>
      <c r="L150" s="149"/>
      <c r="M150" s="3125"/>
      <c r="N150" s="269"/>
      <c r="O150" s="1541"/>
      <c r="P150" s="1541"/>
      <c r="AH150" s="1548">
        <v>0</v>
      </c>
    </row>
    <row r="151" spans="1:34" s="2004" customFormat="1" ht="45" customHeight="1">
      <c r="A151" s="1696" t="s">
        <v>175</v>
      </c>
      <c r="B151" s="1696" t="s">
        <v>176</v>
      </c>
      <c r="C151" s="303"/>
      <c r="D151" s="3353"/>
      <c r="E151" s="3154"/>
      <c r="F151" s="3296" t="str">
        <f>INDEX(PT_DIFFERENTIATION_VTAR,MATCH(A151,PT_DIFFERENTIATION_VTAR_ID,0))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151" s="3328" t="str">
        <f>INDEX(PT_DIFFERENTIATION_NTAR,MATCH(B151,PT_DIFFERENTIATION_NTAR_ID,0))</f>
        <v/>
      </c>
      <c r="H151" s="1776"/>
      <c r="I151" s="2996">
        <v>45658</v>
      </c>
      <c r="J151" s="1689">
        <v>46022</v>
      </c>
      <c r="K151" s="1694">
        <v>9.6809999999999992</v>
      </c>
      <c r="L151" s="1776" t="s">
        <v>341</v>
      </c>
      <c r="M151" s="3126"/>
      <c r="N151" s="269"/>
      <c r="O151" s="1541"/>
      <c r="P151" s="1541"/>
      <c r="AH151" s="1548">
        <v>0</v>
      </c>
    </row>
    <row r="152" spans="1:34" s="2004" customFormat="1" ht="18.75" customHeight="1">
      <c r="A152" s="1696"/>
      <c r="B152" s="1696"/>
      <c r="C152" s="303" t="s">
        <v>1178</v>
      </c>
      <c r="D152" s="3353"/>
      <c r="E152" s="3154"/>
      <c r="F152" s="3296"/>
      <c r="G152" s="3328"/>
      <c r="H152" s="1417"/>
      <c r="I152" s="585" t="s">
        <v>1177</v>
      </c>
      <c r="J152" s="505"/>
      <c r="K152" s="1417"/>
      <c r="L152" s="149"/>
      <c r="M152" s="1775"/>
      <c r="N152" s="269"/>
      <c r="O152" s="1541"/>
      <c r="P152" s="1541"/>
      <c r="AH152" s="1548">
        <v>0</v>
      </c>
    </row>
    <row r="153" spans="1:34" s="2004" customFormat="1" ht="0.75" customHeight="1">
      <c r="A153" s="1696"/>
      <c r="B153" s="1696"/>
      <c r="C153" s="303" t="s">
        <v>1187</v>
      </c>
      <c r="D153" s="3353"/>
      <c r="E153" s="3154"/>
      <c r="F153" s="3296"/>
      <c r="G153" s="334"/>
      <c r="H153" s="1417"/>
      <c r="I153" s="585"/>
      <c r="J153" s="505"/>
      <c r="K153" s="1417"/>
      <c r="L153" s="149"/>
      <c r="M153" s="276"/>
      <c r="N153" s="269"/>
      <c r="O153" s="1541"/>
      <c r="P153" s="1541"/>
      <c r="AH153" s="1548">
        <v>0</v>
      </c>
    </row>
    <row r="154" spans="1:34" s="2004" customFormat="1" ht="45" customHeight="1">
      <c r="A154" s="1696" t="s">
        <v>191</v>
      </c>
      <c r="B154" s="1696" t="s">
        <v>192</v>
      </c>
      <c r="C154" s="303"/>
      <c r="D154" s="3353"/>
      <c r="E154" s="3154"/>
      <c r="F154" s="3296"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3328" t="str">
        <f>INDEX(PT_DIFFERENTIATION_NTAR,MATCH(B154,PT_DIFFERENTIATION_NTAR_ID,0))</f>
        <v/>
      </c>
      <c r="H154" s="1776"/>
      <c r="I154" s="2996">
        <v>45658</v>
      </c>
      <c r="J154" s="1689">
        <v>46022</v>
      </c>
      <c r="K154" s="1694">
        <v>0</v>
      </c>
      <c r="L154" s="1776" t="s">
        <v>341</v>
      </c>
      <c r="M154" s="276"/>
      <c r="N154" s="269"/>
      <c r="O154" s="1541"/>
      <c r="P154" s="1541"/>
      <c r="AH154" s="1548">
        <v>0</v>
      </c>
    </row>
    <row r="155" spans="1:34" s="2004" customFormat="1" ht="18.75" customHeight="1">
      <c r="A155" s="1696"/>
      <c r="B155" s="1696"/>
      <c r="C155" s="303" t="s">
        <v>1178</v>
      </c>
      <c r="D155" s="3353"/>
      <c r="E155" s="3154"/>
      <c r="F155" s="3296"/>
      <c r="G155" s="3328"/>
      <c r="H155" s="1417"/>
      <c r="I155" s="585" t="s">
        <v>1177</v>
      </c>
      <c r="J155" s="505"/>
      <c r="K155" s="1417"/>
      <c r="L155" s="149"/>
      <c r="M155" s="276"/>
      <c r="N155" s="269"/>
      <c r="O155" s="1541"/>
      <c r="P155" s="1541"/>
      <c r="AH155" s="1548">
        <v>0</v>
      </c>
    </row>
    <row r="156" spans="1:34" s="2004" customFormat="1" ht="0.75" customHeight="1">
      <c r="A156" s="1696"/>
      <c r="B156" s="1696"/>
      <c r="C156" s="303" t="s">
        <v>1187</v>
      </c>
      <c r="D156" s="3353"/>
      <c r="E156" s="3154"/>
      <c r="F156" s="3296"/>
      <c r="G156" s="334"/>
      <c r="H156" s="1417"/>
      <c r="I156" s="585"/>
      <c r="J156" s="505"/>
      <c r="K156" s="1417"/>
      <c r="L156" s="149"/>
      <c r="M156" s="276"/>
      <c r="N156" s="269"/>
      <c r="O156" s="1541"/>
      <c r="P156" s="1541"/>
      <c r="AH156" s="1548">
        <v>0</v>
      </c>
    </row>
    <row r="157" spans="1:34" s="2004" customFormat="1" ht="45" customHeight="1">
      <c r="A157" s="1696" t="s">
        <v>203</v>
      </c>
      <c r="B157" s="1696" t="s">
        <v>204</v>
      </c>
      <c r="C157" s="303"/>
      <c r="D157" s="3353"/>
      <c r="E157" s="3154"/>
      <c r="F157" s="3296"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3328" t="str">
        <f>INDEX(PT_DIFFERENTIATION_NTAR,MATCH(B157,PT_DIFFERENTIATION_NTAR_ID,0))</f>
        <v/>
      </c>
      <c r="H157" s="1776"/>
      <c r="I157" s="2996">
        <v>45658</v>
      </c>
      <c r="J157" s="1689">
        <v>46022</v>
      </c>
      <c r="K157" s="1694">
        <v>0</v>
      </c>
      <c r="L157" s="1776" t="s">
        <v>341</v>
      </c>
      <c r="M157" s="276"/>
      <c r="N157" s="269"/>
      <c r="O157" s="1541"/>
      <c r="P157" s="1541"/>
      <c r="AH157" s="1548">
        <v>0</v>
      </c>
    </row>
    <row r="158" spans="1:34" s="2004" customFormat="1" ht="18.75" customHeight="1">
      <c r="A158" s="1696"/>
      <c r="B158" s="1696"/>
      <c r="C158" s="303" t="s">
        <v>1178</v>
      </c>
      <c r="D158" s="3353"/>
      <c r="E158" s="3154"/>
      <c r="F158" s="3296"/>
      <c r="G158" s="3328"/>
      <c r="H158" s="1417"/>
      <c r="I158" s="585" t="s">
        <v>1177</v>
      </c>
      <c r="J158" s="505"/>
      <c r="K158" s="1417"/>
      <c r="L158" s="149"/>
      <c r="M158" s="276"/>
      <c r="N158" s="269"/>
      <c r="O158" s="1541"/>
      <c r="P158" s="1541"/>
      <c r="AH158" s="1548">
        <v>0</v>
      </c>
    </row>
    <row r="159" spans="1:34" s="2004" customFormat="1" ht="0.75" customHeight="1">
      <c r="A159" s="1696"/>
      <c r="B159" s="1696"/>
      <c r="C159" s="303" t="s">
        <v>1187</v>
      </c>
      <c r="D159" s="3353"/>
      <c r="E159" s="3154"/>
      <c r="F159" s="3296"/>
      <c r="G159" s="334"/>
      <c r="H159" s="1417"/>
      <c r="I159" s="585"/>
      <c r="J159" s="505"/>
      <c r="K159" s="1417"/>
      <c r="L159" s="149"/>
      <c r="M159" s="276"/>
      <c r="N159" s="269"/>
      <c r="O159" s="1541"/>
      <c r="P159" s="1541"/>
      <c r="AH159" s="1548">
        <v>0</v>
      </c>
    </row>
    <row r="160" spans="1:34" s="2004" customFormat="1" ht="18.75" customHeight="1">
      <c r="A160" s="1696" t="s">
        <v>216</v>
      </c>
      <c r="B160" s="1696" t="s">
        <v>217</v>
      </c>
      <c r="C160" s="303"/>
      <c r="D160" s="3353"/>
      <c r="E160" s="3154"/>
      <c r="F160" s="3296" t="str">
        <f>INDEX(PT_DIFFERENTIATION_VTAR,MATCH(A160,PT_DIFFERENTIATION_VTAR_ID,0))</f>
        <v>Тарифы на услуги по передаче тепловой энергии</v>
      </c>
      <c r="G160" s="3328" t="str">
        <f>INDEX(PT_DIFFERENTIATION_NTAR,MATCH(B160,PT_DIFFERENTIATION_NTAR_ID,0))</f>
        <v/>
      </c>
      <c r="H160" s="1776"/>
      <c r="I160" s="2996">
        <v>45658</v>
      </c>
      <c r="J160" s="1689">
        <v>46022</v>
      </c>
      <c r="K160" s="1694">
        <v>2.6160000000000001</v>
      </c>
      <c r="L160" s="1776" t="s">
        <v>341</v>
      </c>
      <c r="M160" s="276"/>
      <c r="N160" s="269"/>
      <c r="O160" s="1541"/>
      <c r="P160" s="1541"/>
      <c r="AH160" s="1548">
        <v>0</v>
      </c>
    </row>
    <row r="161" spans="1:34" s="2004" customFormat="1" ht="18.75" customHeight="1">
      <c r="A161" s="1696"/>
      <c r="B161" s="1696"/>
      <c r="C161" s="303" t="s">
        <v>1178</v>
      </c>
      <c r="D161" s="3353"/>
      <c r="E161" s="3154"/>
      <c r="F161" s="3296"/>
      <c r="G161" s="3328"/>
      <c r="H161" s="1417"/>
      <c r="I161" s="585" t="s">
        <v>1177</v>
      </c>
      <c r="J161" s="505"/>
      <c r="K161" s="1417"/>
      <c r="L161" s="149"/>
      <c r="M161" s="276"/>
      <c r="N161" s="269"/>
      <c r="O161" s="1541"/>
      <c r="P161" s="1541"/>
      <c r="AH161" s="1548">
        <v>0</v>
      </c>
    </row>
    <row r="162" spans="1:34" s="2004" customFormat="1" ht="0.75" customHeight="1">
      <c r="A162" s="1696"/>
      <c r="B162" s="1696"/>
      <c r="C162" s="303" t="s">
        <v>1187</v>
      </c>
      <c r="D162" s="3353"/>
      <c r="E162" s="3154"/>
      <c r="F162" s="3296"/>
      <c r="G162" s="334"/>
      <c r="H162" s="1417"/>
      <c r="I162" s="585"/>
      <c r="J162" s="505"/>
      <c r="K162" s="1417"/>
      <c r="L162" s="149"/>
      <c r="M162" s="276"/>
      <c r="N162" s="269"/>
      <c r="O162" s="1541"/>
      <c r="P162" s="1541"/>
      <c r="AH162" s="1548">
        <v>0</v>
      </c>
    </row>
    <row r="163" spans="1:34" s="2004" customFormat="1" ht="18.75" hidden="1" customHeight="1">
      <c r="A163" s="1696" t="s">
        <v>222</v>
      </c>
      <c r="B163" s="1696" t="s">
        <v>223</v>
      </c>
      <c r="C163" s="303"/>
      <c r="D163" s="3353"/>
      <c r="E163" s="3154"/>
      <c r="F163" s="3296" t="str">
        <f>INDEX(PT_DIFFERENTIATION_VTAR,MATCH(A163,PT_DIFFERENTIATION_VTAR_ID,0))</f>
        <v>Тарифы на услуги по передаче теплоносителя</v>
      </c>
      <c r="G163" s="3328" t="str">
        <f>INDEX(PT_DIFFERENTIATION_NTAR,MATCH(B163,PT_DIFFERENTIATION_NTAR_ID,0))</f>
        <v/>
      </c>
      <c r="H163" s="1776"/>
      <c r="I163" s="1655"/>
      <c r="J163" s="1689"/>
      <c r="K163" s="1694"/>
      <c r="L163" s="1776" t="s">
        <v>341</v>
      </c>
      <c r="M163" s="276"/>
      <c r="N163" s="269"/>
      <c r="O163" s="1541"/>
      <c r="P163" s="1541"/>
      <c r="AH163" s="1548">
        <v>0</v>
      </c>
    </row>
    <row r="164" spans="1:34" s="2004" customFormat="1" ht="18.75" hidden="1" customHeight="1">
      <c r="A164" s="1696"/>
      <c r="B164" s="1696"/>
      <c r="C164" s="303" t="s">
        <v>1178</v>
      </c>
      <c r="D164" s="3353"/>
      <c r="E164" s="3154"/>
      <c r="F164" s="3296"/>
      <c r="G164" s="3328"/>
      <c r="H164" s="1417"/>
      <c r="I164" s="585" t="s">
        <v>1177</v>
      </c>
      <c r="J164" s="505"/>
      <c r="K164" s="1417"/>
      <c r="L164" s="149"/>
      <c r="M164" s="276"/>
      <c r="N164" s="269"/>
      <c r="O164" s="1541"/>
      <c r="P164" s="1541"/>
      <c r="AH164" s="1548">
        <v>0</v>
      </c>
    </row>
    <row r="165" spans="1:34" s="2004" customFormat="1" ht="0.75" hidden="1" customHeight="1">
      <c r="A165" s="1696"/>
      <c r="B165" s="1696"/>
      <c r="C165" s="303" t="s">
        <v>1187</v>
      </c>
      <c r="D165" s="3353"/>
      <c r="E165" s="3154"/>
      <c r="F165" s="3296"/>
      <c r="G165" s="334"/>
      <c r="H165" s="1417"/>
      <c r="I165" s="585"/>
      <c r="J165" s="505"/>
      <c r="K165" s="1417"/>
      <c r="L165" s="149"/>
      <c r="M165" s="276"/>
      <c r="N165" s="269"/>
      <c r="O165" s="1541"/>
      <c r="P165" s="1541"/>
      <c r="AH165" s="1548">
        <v>0</v>
      </c>
    </row>
    <row r="166" spans="1:34" s="2004" customFormat="1" ht="18.75" hidden="1" customHeight="1">
      <c r="A166" s="1696" t="s">
        <v>228</v>
      </c>
      <c r="B166" s="1696" t="s">
        <v>229</v>
      </c>
      <c r="C166" s="303"/>
      <c r="D166" s="3353"/>
      <c r="E166" s="3154"/>
      <c r="F166" s="3296" t="str">
        <f>INDEX(PT_DIFFERENTIATION_VTAR,MATCH(A166,PT_DIFFERENTIATION_VTAR_ID,0))</f>
        <v>Плата за услуги по поддержанию резервной тепловой мощности при отсутствии потребления тепловой энергии</v>
      </c>
      <c r="G166" s="3328" t="str">
        <f>INDEX(PT_DIFFERENTIATION_NTAR,MATCH(B166,PT_DIFFERENTIATION_NTAR_ID,0))</f>
        <v/>
      </c>
      <c r="H166" s="1776"/>
      <c r="I166" s="1655"/>
      <c r="J166" s="1689"/>
      <c r="K166" s="1694"/>
      <c r="L166" s="1776" t="s">
        <v>341</v>
      </c>
      <c r="M166" s="276"/>
      <c r="N166" s="269"/>
      <c r="O166" s="1541"/>
      <c r="P166" s="1541"/>
      <c r="AH166" s="1548">
        <v>0</v>
      </c>
    </row>
    <row r="167" spans="1:34" s="2004" customFormat="1" ht="18.75" hidden="1" customHeight="1">
      <c r="A167" s="1696"/>
      <c r="B167" s="1696"/>
      <c r="C167" s="303" t="s">
        <v>1178</v>
      </c>
      <c r="D167" s="3353"/>
      <c r="E167" s="3154"/>
      <c r="F167" s="3296"/>
      <c r="G167" s="3328"/>
      <c r="H167" s="1417"/>
      <c r="I167" s="585" t="s">
        <v>1177</v>
      </c>
      <c r="J167" s="505"/>
      <c r="K167" s="1417"/>
      <c r="L167" s="149"/>
      <c r="M167" s="276"/>
      <c r="N167" s="269"/>
      <c r="O167" s="1541"/>
      <c r="P167" s="1541"/>
      <c r="AH167" s="1548">
        <v>0</v>
      </c>
    </row>
    <row r="168" spans="1:34" s="2004" customFormat="1" ht="0.75" hidden="1" customHeight="1">
      <c r="A168" s="1696"/>
      <c r="B168" s="1696"/>
      <c r="C168" s="303" t="s">
        <v>1187</v>
      </c>
      <c r="D168" s="3353"/>
      <c r="E168" s="3154"/>
      <c r="F168" s="3296"/>
      <c r="G168" s="334"/>
      <c r="H168" s="1417"/>
      <c r="I168" s="585"/>
      <c r="J168" s="505"/>
      <c r="K168" s="1417"/>
      <c r="L168" s="149"/>
      <c r="M168" s="276"/>
      <c r="N168" s="269"/>
      <c r="O168" s="1541"/>
      <c r="P168" s="1541"/>
      <c r="AH168" s="1548">
        <v>0</v>
      </c>
    </row>
    <row r="169" spans="1:34" s="2004" customFormat="1" ht="18.75" hidden="1" customHeight="1">
      <c r="A169" s="1696" t="s">
        <v>234</v>
      </c>
      <c r="B169" s="1696" t="s">
        <v>235</v>
      </c>
      <c r="C169" s="303"/>
      <c r="D169" s="3353"/>
      <c r="E169" s="3154"/>
      <c r="F169" s="3296" t="str">
        <f>INDEX(PT_DIFFERENTIATION_VTAR,MATCH(A169,PT_DIFFERENTIATION_VTAR_ID,0))</f>
        <v>Плата за подключение (технологическое присоединение) к системе теплоснабжения</v>
      </c>
      <c r="G169" s="3328" t="str">
        <f>INDEX(PT_DIFFERENTIATION_NTAR,MATCH(B169,PT_DIFFERENTIATION_NTAR_ID,0))</f>
        <v/>
      </c>
      <c r="H169" s="1776"/>
      <c r="I169" s="1655"/>
      <c r="J169" s="1689"/>
      <c r="K169" s="1694"/>
      <c r="L169" s="1776" t="s">
        <v>341</v>
      </c>
      <c r="M169" s="276"/>
      <c r="N169" s="269"/>
      <c r="O169" s="1541"/>
      <c r="P169" s="1541"/>
      <c r="AH169" s="1548">
        <v>0</v>
      </c>
    </row>
    <row r="170" spans="1:34" s="2004" customFormat="1" ht="18.75" hidden="1" customHeight="1">
      <c r="A170" s="1696"/>
      <c r="B170" s="1696"/>
      <c r="C170" s="303" t="s">
        <v>1178</v>
      </c>
      <c r="D170" s="3353"/>
      <c r="E170" s="3154"/>
      <c r="F170" s="3296"/>
      <c r="G170" s="3328"/>
      <c r="H170" s="1417"/>
      <c r="I170" s="585" t="s">
        <v>1177</v>
      </c>
      <c r="J170" s="505"/>
      <c r="K170" s="1417"/>
      <c r="L170" s="149"/>
      <c r="M170" s="276"/>
      <c r="N170" s="269"/>
      <c r="O170" s="1541"/>
      <c r="P170" s="1541"/>
      <c r="AH170" s="1548">
        <v>0</v>
      </c>
    </row>
    <row r="171" spans="1:34" s="2004" customFormat="1" ht="0.75" hidden="1" customHeight="1">
      <c r="A171" s="1696"/>
      <c r="B171" s="1696"/>
      <c r="C171" s="303" t="s">
        <v>1187</v>
      </c>
      <c r="D171" s="3353"/>
      <c r="E171" s="3154"/>
      <c r="F171" s="3296"/>
      <c r="G171" s="334"/>
      <c r="H171" s="1417"/>
      <c r="I171" s="585"/>
      <c r="J171" s="505"/>
      <c r="K171" s="1417"/>
      <c r="L171" s="149"/>
      <c r="M171" s="276"/>
      <c r="N171" s="269"/>
      <c r="O171" s="1541"/>
      <c r="P171" s="1541"/>
      <c r="AH171" s="1548">
        <v>0</v>
      </c>
    </row>
    <row r="172" spans="1:34" s="2004" customFormat="1" ht="18.75" hidden="1" customHeight="1">
      <c r="A172" s="1696" t="s">
        <v>240</v>
      </c>
      <c r="B172" s="1696" t="s">
        <v>241</v>
      </c>
      <c r="C172" s="303"/>
      <c r="D172" s="3353"/>
      <c r="E172" s="3154"/>
      <c r="F172" s="3296" t="str">
        <f>INDEX(PT_DIFFERENTIATION_VTAR,MATCH(A172,PT_DIFFERENTIATION_VTAR_ID,0))</f>
        <v>Плата за подключение (технологическое присоединение) к системе теплоснабжения (индивидуальная)</v>
      </c>
      <c r="G172" s="3328" t="str">
        <f>INDEX(PT_DIFFERENTIATION_NTAR,MATCH(B172,PT_DIFFERENTIATION_NTAR_ID,0))</f>
        <v/>
      </c>
      <c r="H172" s="1900"/>
      <c r="I172" s="1655"/>
      <c r="J172" s="1689"/>
      <c r="K172" s="1694"/>
      <c r="L172" s="1900" t="s">
        <v>341</v>
      </c>
      <c r="M172" s="276"/>
      <c r="N172" s="269"/>
      <c r="O172" s="1541"/>
      <c r="P172" s="1541"/>
      <c r="AH172" s="1548">
        <v>0</v>
      </c>
    </row>
    <row r="173" spans="1:34" s="2004" customFormat="1" ht="18.75" hidden="1" customHeight="1">
      <c r="A173" s="1696"/>
      <c r="B173" s="1696"/>
      <c r="C173" s="303" t="s">
        <v>1178</v>
      </c>
      <c r="D173" s="3353"/>
      <c r="E173" s="3154"/>
      <c r="F173" s="3296"/>
      <c r="G173" s="3328"/>
      <c r="H173" s="1417"/>
      <c r="I173" s="585" t="s">
        <v>1177</v>
      </c>
      <c r="J173" s="505"/>
      <c r="K173" s="1417"/>
      <c r="L173" s="149"/>
      <c r="M173" s="276"/>
      <c r="N173" s="269"/>
      <c r="O173" s="1541"/>
      <c r="P173" s="1541"/>
      <c r="AH173" s="1548">
        <v>0</v>
      </c>
    </row>
    <row r="174" spans="1:34" s="2004" customFormat="1" ht="0.75" hidden="1" customHeight="1">
      <c r="A174" s="1696"/>
      <c r="B174" s="1696"/>
      <c r="C174" s="303" t="s">
        <v>1187</v>
      </c>
      <c r="D174" s="3353"/>
      <c r="E174" s="3154"/>
      <c r="F174" s="3296"/>
      <c r="G174" s="334"/>
      <c r="H174" s="1417"/>
      <c r="I174" s="585"/>
      <c r="J174" s="505"/>
      <c r="K174" s="1417"/>
      <c r="L174" s="149"/>
      <c r="M174" s="276"/>
      <c r="N174" s="269"/>
      <c r="O174" s="1541"/>
      <c r="P174" s="1541"/>
      <c r="AH174" s="1548">
        <v>0</v>
      </c>
    </row>
    <row r="175" spans="1:34" s="2004" customFormat="1" ht="18.75" hidden="1" customHeight="1">
      <c r="A175" s="1696" t="s">
        <v>260</v>
      </c>
      <c r="B175" s="1696" t="s">
        <v>261</v>
      </c>
      <c r="C175" s="303"/>
      <c r="D175" s="3353"/>
      <c r="E175" s="3154"/>
      <c r="F175" s="3296" t="str">
        <f>INDEX(PT_DIFFERENTIATION_VTAR,MATCH(A175,PT_DIFFERENTIATION_VTAR_ID,0))</f>
        <v>Тариф на питьевую воду (питьевое водоснабжение)</v>
      </c>
      <c r="G175" s="3328" t="str">
        <f>INDEX(PT_DIFFERENTIATION_NTAR,MATCH(B175,PT_DIFFERENTIATION_NTAR_ID,0))</f>
        <v/>
      </c>
      <c r="H175" s="1776"/>
      <c r="I175" s="1655"/>
      <c r="J175" s="1689"/>
      <c r="K175" s="1694"/>
      <c r="L175" s="1776" t="s">
        <v>341</v>
      </c>
      <c r="M175" s="276"/>
      <c r="N175" s="269"/>
      <c r="O175" s="1541"/>
      <c r="P175" s="1541"/>
      <c r="AH175" s="1548">
        <v>0</v>
      </c>
    </row>
    <row r="176" spans="1:34" s="2004" customFormat="1" ht="18.75" hidden="1" customHeight="1">
      <c r="A176" s="1696"/>
      <c r="B176" s="1696"/>
      <c r="C176" s="303" t="s">
        <v>1178</v>
      </c>
      <c r="D176" s="3353"/>
      <c r="E176" s="3154"/>
      <c r="F176" s="3296"/>
      <c r="G176" s="3328"/>
      <c r="H176" s="1417"/>
      <c r="I176" s="585" t="s">
        <v>1177</v>
      </c>
      <c r="J176" s="505"/>
      <c r="K176" s="1417"/>
      <c r="L176" s="149"/>
      <c r="M176" s="276"/>
      <c r="N176" s="269"/>
      <c r="O176" s="1541"/>
      <c r="P176" s="1541"/>
      <c r="AH176" s="1548">
        <v>0</v>
      </c>
    </row>
    <row r="177" spans="1:34" s="2004" customFormat="1" ht="0.75" hidden="1" customHeight="1">
      <c r="A177" s="1696"/>
      <c r="B177" s="1696"/>
      <c r="C177" s="303" t="s">
        <v>1187</v>
      </c>
      <c r="D177" s="3353"/>
      <c r="E177" s="3154"/>
      <c r="F177" s="3296"/>
      <c r="G177" s="334"/>
      <c r="H177" s="1417"/>
      <c r="I177" s="585"/>
      <c r="J177" s="505"/>
      <c r="K177" s="1417"/>
      <c r="L177" s="149"/>
      <c r="M177" s="276"/>
      <c r="N177" s="269"/>
      <c r="O177" s="1541"/>
      <c r="P177" s="1541"/>
      <c r="AH177" s="1548">
        <v>0</v>
      </c>
    </row>
    <row r="178" spans="1:34" s="2004" customFormat="1" ht="18.75" hidden="1" customHeight="1">
      <c r="A178" s="1696" t="s">
        <v>265</v>
      </c>
      <c r="B178" s="1696" t="s">
        <v>266</v>
      </c>
      <c r="C178" s="303"/>
      <c r="D178" s="3353"/>
      <c r="E178" s="3154"/>
      <c r="F178" s="3296" t="str">
        <f>INDEX(PT_DIFFERENTIATION_VTAR,MATCH(A178,PT_DIFFERENTIATION_VTAR_ID,0))</f>
        <v>Тариф на техническую воду</v>
      </c>
      <c r="G178" s="3328" t="str">
        <f>INDEX(PT_DIFFERENTIATION_NTAR,MATCH(B178,PT_DIFFERENTIATION_NTAR_ID,0))</f>
        <v/>
      </c>
      <c r="H178" s="1776"/>
      <c r="I178" s="1655"/>
      <c r="J178" s="1689"/>
      <c r="K178" s="1694"/>
      <c r="L178" s="1776" t="s">
        <v>341</v>
      </c>
      <c r="M178" s="276"/>
      <c r="N178" s="269"/>
      <c r="O178" s="1541"/>
      <c r="P178" s="1541"/>
      <c r="AH178" s="1548">
        <v>0</v>
      </c>
    </row>
    <row r="179" spans="1:34" s="2004" customFormat="1" ht="18.75" hidden="1" customHeight="1">
      <c r="A179" s="1696"/>
      <c r="B179" s="1696"/>
      <c r="C179" s="303" t="s">
        <v>1178</v>
      </c>
      <c r="D179" s="3353"/>
      <c r="E179" s="3154"/>
      <c r="F179" s="3296"/>
      <c r="G179" s="3328"/>
      <c r="H179" s="1417"/>
      <c r="I179" s="585" t="s">
        <v>1177</v>
      </c>
      <c r="J179" s="505"/>
      <c r="K179" s="1417"/>
      <c r="L179" s="149"/>
      <c r="M179" s="276"/>
      <c r="N179" s="269"/>
      <c r="O179" s="1541"/>
      <c r="P179" s="1541"/>
      <c r="AH179" s="1548">
        <v>0</v>
      </c>
    </row>
    <row r="180" spans="1:34" s="2004" customFormat="1" ht="0.75" hidden="1" customHeight="1">
      <c r="A180" s="1696"/>
      <c r="B180" s="1696"/>
      <c r="C180" s="303" t="s">
        <v>1187</v>
      </c>
      <c r="D180" s="3353"/>
      <c r="E180" s="3154"/>
      <c r="F180" s="3296"/>
      <c r="G180" s="334"/>
      <c r="H180" s="1417"/>
      <c r="I180" s="585"/>
      <c r="J180" s="505"/>
      <c r="K180" s="1417"/>
      <c r="L180" s="149"/>
      <c r="M180" s="276"/>
      <c r="N180" s="269"/>
      <c r="O180" s="1541"/>
      <c r="P180" s="1541"/>
      <c r="AH180" s="1548">
        <v>0</v>
      </c>
    </row>
    <row r="181" spans="1:34" s="2004" customFormat="1" ht="18.75" hidden="1" customHeight="1">
      <c r="A181" s="1696" t="s">
        <v>270</v>
      </c>
      <c r="B181" s="1696" t="s">
        <v>271</v>
      </c>
      <c r="C181" s="303"/>
      <c r="D181" s="3353"/>
      <c r="E181" s="3154"/>
      <c r="F181" s="3296" t="str">
        <f>INDEX(PT_DIFFERENTIATION_VTAR,MATCH(A181,PT_DIFFERENTIATION_VTAR_ID,0))</f>
        <v>Тариф на транспортировку воды</v>
      </c>
      <c r="G181" s="3328" t="str">
        <f>INDEX(PT_DIFFERENTIATION_NTAR,MATCH(B181,PT_DIFFERENTIATION_NTAR_ID,0))</f>
        <v/>
      </c>
      <c r="H181" s="1776"/>
      <c r="I181" s="1655"/>
      <c r="J181" s="1689"/>
      <c r="K181" s="1694"/>
      <c r="L181" s="1776" t="s">
        <v>341</v>
      </c>
      <c r="M181" s="276"/>
      <c r="N181" s="269"/>
      <c r="O181" s="1541"/>
      <c r="P181" s="1541"/>
      <c r="AH181" s="1548">
        <v>0</v>
      </c>
    </row>
    <row r="182" spans="1:34" s="2004" customFormat="1" ht="18.75" hidden="1" customHeight="1">
      <c r="A182" s="1696"/>
      <c r="B182" s="1696"/>
      <c r="C182" s="303" t="s">
        <v>1178</v>
      </c>
      <c r="D182" s="3353"/>
      <c r="E182" s="3154"/>
      <c r="F182" s="3296"/>
      <c r="G182" s="3328"/>
      <c r="H182" s="1417"/>
      <c r="I182" s="585" t="s">
        <v>1177</v>
      </c>
      <c r="J182" s="505"/>
      <c r="K182" s="1417"/>
      <c r="L182" s="149"/>
      <c r="M182" s="276"/>
      <c r="N182" s="269"/>
      <c r="O182" s="1541"/>
      <c r="P182" s="1541"/>
      <c r="AH182" s="1548">
        <v>0</v>
      </c>
    </row>
    <row r="183" spans="1:34" s="2004" customFormat="1" ht="0.75" hidden="1" customHeight="1">
      <c r="A183" s="1696"/>
      <c r="B183" s="1696"/>
      <c r="C183" s="303" t="s">
        <v>1187</v>
      </c>
      <c r="D183" s="3353"/>
      <c r="E183" s="3154"/>
      <c r="F183" s="3296"/>
      <c r="G183" s="334"/>
      <c r="H183" s="1417"/>
      <c r="I183" s="585"/>
      <c r="J183" s="505"/>
      <c r="K183" s="1417"/>
      <c r="L183" s="149"/>
      <c r="M183" s="276"/>
      <c r="N183" s="269"/>
      <c r="O183" s="1541"/>
      <c r="P183" s="1541"/>
      <c r="AH183" s="1548">
        <v>0</v>
      </c>
    </row>
    <row r="184" spans="1:34" s="2004" customFormat="1" ht="18.75" hidden="1" customHeight="1">
      <c r="A184" s="1696" t="s">
        <v>275</v>
      </c>
      <c r="B184" s="1696" t="s">
        <v>276</v>
      </c>
      <c r="C184" s="303"/>
      <c r="D184" s="3353"/>
      <c r="E184" s="3154"/>
      <c r="F184" s="3296" t="str">
        <f>INDEX(PT_DIFFERENTIATION_VTAR,MATCH(A184,PT_DIFFERENTIATION_VTAR_ID,0))</f>
        <v>Тариф на подвоз воды</v>
      </c>
      <c r="G184" s="3328" t="str">
        <f>INDEX(PT_DIFFERENTIATION_NTAR,MATCH(B184,PT_DIFFERENTIATION_NTAR_ID,0))</f>
        <v/>
      </c>
      <c r="H184" s="1776"/>
      <c r="I184" s="1655"/>
      <c r="J184" s="1689"/>
      <c r="K184" s="1694"/>
      <c r="L184" s="1776" t="s">
        <v>341</v>
      </c>
      <c r="M184" s="276"/>
      <c r="N184" s="269"/>
      <c r="O184" s="1541"/>
      <c r="P184" s="1541"/>
      <c r="AH184" s="1548">
        <v>0</v>
      </c>
    </row>
    <row r="185" spans="1:34" s="2004" customFormat="1" ht="18.75" hidden="1" customHeight="1">
      <c r="A185" s="1696"/>
      <c r="B185" s="1696"/>
      <c r="C185" s="303" t="s">
        <v>1178</v>
      </c>
      <c r="D185" s="3353"/>
      <c r="E185" s="3154"/>
      <c r="F185" s="3296"/>
      <c r="G185" s="3328"/>
      <c r="H185" s="1417"/>
      <c r="I185" s="585" t="s">
        <v>1177</v>
      </c>
      <c r="J185" s="505"/>
      <c r="K185" s="1417"/>
      <c r="L185" s="149"/>
      <c r="M185" s="276"/>
      <c r="N185" s="269"/>
      <c r="O185" s="1541"/>
      <c r="P185" s="1541"/>
      <c r="AH185" s="1548">
        <v>0</v>
      </c>
    </row>
    <row r="186" spans="1:34" s="2004" customFormat="1" ht="0.75" hidden="1" customHeight="1">
      <c r="A186" s="1696"/>
      <c r="B186" s="1696"/>
      <c r="C186" s="303" t="s">
        <v>1187</v>
      </c>
      <c r="D186" s="3353"/>
      <c r="E186" s="3154"/>
      <c r="F186" s="3296"/>
      <c r="G186" s="334"/>
      <c r="H186" s="1417"/>
      <c r="I186" s="585"/>
      <c r="J186" s="505"/>
      <c r="K186" s="1417"/>
      <c r="L186" s="149"/>
      <c r="M186" s="276"/>
      <c r="N186" s="269"/>
      <c r="O186" s="1541"/>
      <c r="P186" s="1541"/>
      <c r="AH186" s="1548">
        <v>0</v>
      </c>
    </row>
    <row r="187" spans="1:34" s="2004" customFormat="1" ht="18.75" hidden="1" customHeight="1">
      <c r="A187" s="1696" t="s">
        <v>280</v>
      </c>
      <c r="B187" s="1696" t="s">
        <v>281</v>
      </c>
      <c r="C187" s="303"/>
      <c r="D187" s="3353"/>
      <c r="E187" s="3154"/>
      <c r="F187" s="3296"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3328" t="str">
        <f>INDEX(PT_DIFFERENTIATION_NTAR,MATCH(B187,PT_DIFFERENTIATION_NTAR_ID,0))</f>
        <v/>
      </c>
      <c r="H187" s="1776"/>
      <c r="I187" s="1655"/>
      <c r="J187" s="1689"/>
      <c r="K187" s="1694"/>
      <c r="L187" s="1776" t="s">
        <v>341</v>
      </c>
      <c r="M187" s="276"/>
      <c r="N187" s="269"/>
      <c r="O187" s="1541"/>
      <c r="P187" s="1541"/>
      <c r="AH187" s="1548">
        <v>0</v>
      </c>
    </row>
    <row r="188" spans="1:34" s="2004" customFormat="1" ht="18.75" hidden="1" customHeight="1">
      <c r="A188" s="1696"/>
      <c r="B188" s="1696"/>
      <c r="C188" s="303" t="s">
        <v>1178</v>
      </c>
      <c r="D188" s="3353"/>
      <c r="E188" s="3154"/>
      <c r="F188" s="3296"/>
      <c r="G188" s="3328"/>
      <c r="H188" s="1417"/>
      <c r="I188" s="585" t="s">
        <v>1177</v>
      </c>
      <c r="J188" s="505"/>
      <c r="K188" s="1417"/>
      <c r="L188" s="149"/>
      <c r="M188" s="276"/>
      <c r="N188" s="269"/>
      <c r="O188" s="1541"/>
      <c r="P188" s="1541"/>
      <c r="AH188" s="1548">
        <v>0</v>
      </c>
    </row>
    <row r="189" spans="1:34" s="2004" customFormat="1" ht="0.75" hidden="1" customHeight="1">
      <c r="A189" s="1696"/>
      <c r="B189" s="1696"/>
      <c r="C189" s="303" t="s">
        <v>1187</v>
      </c>
      <c r="D189" s="3353"/>
      <c r="E189" s="3154"/>
      <c r="F189" s="3296"/>
      <c r="G189" s="334"/>
      <c r="H189" s="1417"/>
      <c r="I189" s="585"/>
      <c r="J189" s="505"/>
      <c r="K189" s="1417"/>
      <c r="L189" s="149"/>
      <c r="M189" s="276"/>
      <c r="N189" s="269"/>
      <c r="O189" s="1541"/>
      <c r="P189" s="1541"/>
      <c r="AH189" s="1548">
        <v>0</v>
      </c>
    </row>
    <row r="190" spans="1:34" s="2004" customFormat="1" ht="18.75" hidden="1" customHeight="1">
      <c r="A190" s="1696" t="s">
        <v>285</v>
      </c>
      <c r="B190" s="1696" t="s">
        <v>286</v>
      </c>
      <c r="C190" s="303"/>
      <c r="D190" s="3353"/>
      <c r="E190" s="3154"/>
      <c r="F190" s="3296" t="str">
        <f>INDEX(PT_DIFFERENTIATION_VTAR,MATCH(A190,PT_DIFFERENTIATION_VTAR_ID,0))</f>
        <v>Тариф на горячую воду (горячее водоснабжение)</v>
      </c>
      <c r="G190" s="3328" t="str">
        <f>INDEX(PT_DIFFERENTIATION_NTAR,MATCH(B190,PT_DIFFERENTIATION_NTAR_ID,0))</f>
        <v/>
      </c>
      <c r="H190" s="1776"/>
      <c r="I190" s="1655"/>
      <c r="J190" s="1689"/>
      <c r="K190" s="1694"/>
      <c r="L190" s="1776" t="s">
        <v>341</v>
      </c>
      <c r="M190" s="276"/>
      <c r="N190" s="269"/>
      <c r="O190" s="1541"/>
      <c r="P190" s="1541"/>
      <c r="AH190" s="1548">
        <v>0</v>
      </c>
    </row>
    <row r="191" spans="1:34" s="2004" customFormat="1" ht="18.75" hidden="1" customHeight="1">
      <c r="A191" s="1696"/>
      <c r="B191" s="1696"/>
      <c r="C191" s="303" t="s">
        <v>1178</v>
      </c>
      <c r="D191" s="3353"/>
      <c r="E191" s="3154"/>
      <c r="F191" s="3296"/>
      <c r="G191" s="3328"/>
      <c r="H191" s="1417"/>
      <c r="I191" s="585" t="s">
        <v>1177</v>
      </c>
      <c r="J191" s="505"/>
      <c r="K191" s="1417"/>
      <c r="L191" s="149"/>
      <c r="M191" s="276"/>
      <c r="N191" s="269"/>
      <c r="O191" s="1541"/>
      <c r="P191" s="1541"/>
      <c r="AH191" s="1548">
        <v>0</v>
      </c>
    </row>
    <row r="192" spans="1:34" s="2004" customFormat="1" ht="0.75" hidden="1" customHeight="1">
      <c r="A192" s="1696"/>
      <c r="B192" s="1696"/>
      <c r="C192" s="303" t="s">
        <v>1187</v>
      </c>
      <c r="D192" s="3353"/>
      <c r="E192" s="3154"/>
      <c r="F192" s="3296"/>
      <c r="G192" s="334"/>
      <c r="H192" s="1417"/>
      <c r="I192" s="585"/>
      <c r="J192" s="505"/>
      <c r="K192" s="1417"/>
      <c r="L192" s="149"/>
      <c r="M192" s="276"/>
      <c r="N192" s="269"/>
      <c r="O192" s="1541"/>
      <c r="P192" s="1541"/>
      <c r="AH192" s="1548">
        <v>0</v>
      </c>
    </row>
    <row r="193" spans="1:34" s="2004" customFormat="1" ht="18.75" hidden="1" customHeight="1">
      <c r="A193" s="1696" t="s">
        <v>290</v>
      </c>
      <c r="B193" s="1696" t="s">
        <v>291</v>
      </c>
      <c r="C193" s="303"/>
      <c r="D193" s="3353"/>
      <c r="E193" s="3154"/>
      <c r="F193" s="3296" t="str">
        <f>INDEX(PT_DIFFERENTIATION_VTAR,MATCH(A193,PT_DIFFERENTIATION_VTAR_ID,0))</f>
        <v>Тариф на транспортировку горячей воды</v>
      </c>
      <c r="G193" s="3328" t="str">
        <f>INDEX(PT_DIFFERENTIATION_NTAR,MATCH(B193,PT_DIFFERENTIATION_NTAR_ID,0))</f>
        <v/>
      </c>
      <c r="H193" s="1776"/>
      <c r="I193" s="1655"/>
      <c r="J193" s="1689"/>
      <c r="K193" s="1694"/>
      <c r="L193" s="1776" t="s">
        <v>341</v>
      </c>
      <c r="M193" s="276"/>
      <c r="N193" s="269"/>
      <c r="O193" s="1541"/>
      <c r="P193" s="1541"/>
      <c r="AH193" s="1548">
        <v>0</v>
      </c>
    </row>
    <row r="194" spans="1:34" s="2004" customFormat="1" ht="18.75" hidden="1" customHeight="1">
      <c r="A194" s="1696"/>
      <c r="B194" s="1696"/>
      <c r="C194" s="303" t="s">
        <v>1178</v>
      </c>
      <c r="D194" s="3353"/>
      <c r="E194" s="3154"/>
      <c r="F194" s="3296"/>
      <c r="G194" s="3328"/>
      <c r="H194" s="1417"/>
      <c r="I194" s="585" t="s">
        <v>1177</v>
      </c>
      <c r="J194" s="505"/>
      <c r="K194" s="1417"/>
      <c r="L194" s="149"/>
      <c r="M194" s="276"/>
      <c r="N194" s="269"/>
      <c r="O194" s="1541"/>
      <c r="P194" s="1541"/>
      <c r="AH194" s="1548">
        <v>0</v>
      </c>
    </row>
    <row r="195" spans="1:34" s="2004" customFormat="1" ht="0.75" hidden="1" customHeight="1">
      <c r="A195" s="1696"/>
      <c r="B195" s="1696"/>
      <c r="C195" s="303" t="s">
        <v>1187</v>
      </c>
      <c r="D195" s="3353"/>
      <c r="E195" s="3154"/>
      <c r="F195" s="3296"/>
      <c r="G195" s="334"/>
      <c r="H195" s="1417"/>
      <c r="I195" s="585"/>
      <c r="J195" s="505"/>
      <c r="K195" s="1417"/>
      <c r="L195" s="149"/>
      <c r="M195" s="276"/>
      <c r="N195" s="269"/>
      <c r="O195" s="1541"/>
      <c r="P195" s="1541"/>
      <c r="AH195" s="1548">
        <v>0</v>
      </c>
    </row>
    <row r="196" spans="1:34" s="2004" customFormat="1" ht="18.75" hidden="1" customHeight="1">
      <c r="A196" s="1696" t="s">
        <v>295</v>
      </c>
      <c r="B196" s="1696" t="s">
        <v>296</v>
      </c>
      <c r="C196" s="303"/>
      <c r="D196" s="3353"/>
      <c r="E196" s="3154"/>
      <c r="F196" s="3296" t="str">
        <f>INDEX(PT_DIFFERENTIATION_VTAR,MATCH(A196,PT_DIFFERENTIATION_VTAR_ID,0))</f>
        <v>Тариф на подключение (технологическое присоединение) к централизованной системе горячего водоснабжения</v>
      </c>
      <c r="G196" s="3328" t="str">
        <f>INDEX(PT_DIFFERENTIATION_NTAR,MATCH(B196,PT_DIFFERENTIATION_NTAR_ID,0))</f>
        <v/>
      </c>
      <c r="H196" s="1776"/>
      <c r="I196" s="1655"/>
      <c r="J196" s="1689"/>
      <c r="K196" s="1694"/>
      <c r="L196" s="1776" t="s">
        <v>341</v>
      </c>
      <c r="M196" s="276"/>
      <c r="N196" s="269"/>
      <c r="O196" s="1541"/>
      <c r="P196" s="1541"/>
      <c r="AH196" s="1548">
        <v>0</v>
      </c>
    </row>
    <row r="197" spans="1:34" s="2004" customFormat="1" ht="18.75" hidden="1" customHeight="1">
      <c r="A197" s="1696"/>
      <c r="B197" s="1696"/>
      <c r="C197" s="303" t="s">
        <v>1178</v>
      </c>
      <c r="D197" s="3353"/>
      <c r="E197" s="3154"/>
      <c r="F197" s="3296"/>
      <c r="G197" s="3328"/>
      <c r="H197" s="1417"/>
      <c r="I197" s="585" t="s">
        <v>1177</v>
      </c>
      <c r="J197" s="505"/>
      <c r="K197" s="1417"/>
      <c r="L197" s="149"/>
      <c r="M197" s="276"/>
      <c r="N197" s="269"/>
      <c r="O197" s="1541"/>
      <c r="P197" s="1541"/>
      <c r="AH197" s="1548">
        <v>0</v>
      </c>
    </row>
    <row r="198" spans="1:34" s="2004" customFormat="1" ht="0.75" hidden="1" customHeight="1">
      <c r="A198" s="1696"/>
      <c r="B198" s="1696"/>
      <c r="C198" s="303" t="s">
        <v>1187</v>
      </c>
      <c r="D198" s="3353"/>
      <c r="E198" s="3154"/>
      <c r="F198" s="3296"/>
      <c r="G198" s="334"/>
      <c r="H198" s="1417"/>
      <c r="I198" s="585"/>
      <c r="J198" s="505"/>
      <c r="K198" s="1417"/>
      <c r="L198" s="149"/>
      <c r="M198" s="276"/>
      <c r="N198" s="269"/>
      <c r="O198" s="1541"/>
      <c r="P198" s="1541"/>
      <c r="AH198" s="1548">
        <v>0</v>
      </c>
    </row>
    <row r="199" spans="1:34" s="2004" customFormat="1" ht="18.75" hidden="1" customHeight="1">
      <c r="A199" s="1696" t="s">
        <v>300</v>
      </c>
      <c r="B199" s="1696" t="s">
        <v>301</v>
      </c>
      <c r="C199" s="303"/>
      <c r="D199" s="3353"/>
      <c r="E199" s="3154"/>
      <c r="F199" s="3296" t="str">
        <f>INDEX(PT_DIFFERENTIATION_VTAR,MATCH(A199,PT_DIFFERENTIATION_VTAR_ID,0))</f>
        <v>Тариф на водоотведение</v>
      </c>
      <c r="G199" s="3328" t="str">
        <f>INDEX(PT_DIFFERENTIATION_NTAR,MATCH(B199,PT_DIFFERENTIATION_NTAR_ID,0))</f>
        <v/>
      </c>
      <c r="H199" s="1776"/>
      <c r="I199" s="1655"/>
      <c r="J199" s="1689"/>
      <c r="K199" s="1694"/>
      <c r="L199" s="1776" t="s">
        <v>341</v>
      </c>
      <c r="M199" s="276"/>
      <c r="N199" s="269"/>
      <c r="O199" s="1541"/>
      <c r="P199" s="1541"/>
      <c r="AH199" s="1548">
        <v>0</v>
      </c>
    </row>
    <row r="200" spans="1:34" s="2004" customFormat="1" ht="18.75" hidden="1" customHeight="1">
      <c r="A200" s="1696"/>
      <c r="B200" s="1696"/>
      <c r="C200" s="303" t="s">
        <v>1178</v>
      </c>
      <c r="D200" s="3353"/>
      <c r="E200" s="3154"/>
      <c r="F200" s="3296"/>
      <c r="G200" s="3328"/>
      <c r="H200" s="1417"/>
      <c r="I200" s="585" t="s">
        <v>1177</v>
      </c>
      <c r="J200" s="505"/>
      <c r="K200" s="1417"/>
      <c r="L200" s="149"/>
      <c r="M200" s="276"/>
      <c r="N200" s="269"/>
      <c r="O200" s="1541"/>
      <c r="P200" s="1541"/>
      <c r="AH200" s="1548">
        <v>0</v>
      </c>
    </row>
    <row r="201" spans="1:34" s="2004" customFormat="1" ht="0.75" hidden="1" customHeight="1">
      <c r="A201" s="1696"/>
      <c r="B201" s="1696"/>
      <c r="C201" s="303" t="s">
        <v>1187</v>
      </c>
      <c r="D201" s="3353"/>
      <c r="E201" s="3154"/>
      <c r="F201" s="3296"/>
      <c r="G201" s="334"/>
      <c r="H201" s="1417"/>
      <c r="I201" s="585"/>
      <c r="J201" s="505"/>
      <c r="K201" s="1417"/>
      <c r="L201" s="149"/>
      <c r="M201" s="276"/>
      <c r="N201" s="269"/>
      <c r="O201" s="1541"/>
      <c r="P201" s="1541"/>
      <c r="AH201" s="1548">
        <v>0</v>
      </c>
    </row>
    <row r="202" spans="1:34" s="2004" customFormat="1" ht="18.75" hidden="1" customHeight="1">
      <c r="A202" s="1696" t="s">
        <v>305</v>
      </c>
      <c r="B202" s="1696" t="s">
        <v>306</v>
      </c>
      <c r="C202" s="303"/>
      <c r="D202" s="3353"/>
      <c r="E202" s="3154"/>
      <c r="F202" s="3296" t="str">
        <f>INDEX(PT_DIFFERENTIATION_VTAR,MATCH(A202,PT_DIFFERENTIATION_VTAR_ID,0))</f>
        <v>Тариф на транспортировку сточных вод</v>
      </c>
      <c r="G202" s="3328" t="str">
        <f>INDEX(PT_DIFFERENTIATION_NTAR,MATCH(B202,PT_DIFFERENTIATION_NTAR_ID,0))</f>
        <v/>
      </c>
      <c r="H202" s="1776"/>
      <c r="I202" s="1655"/>
      <c r="J202" s="1689"/>
      <c r="K202" s="1694"/>
      <c r="L202" s="1776" t="s">
        <v>341</v>
      </c>
      <c r="M202" s="276"/>
      <c r="N202" s="269"/>
      <c r="O202" s="1541"/>
      <c r="P202" s="1541"/>
      <c r="AH202" s="1548">
        <v>0</v>
      </c>
    </row>
    <row r="203" spans="1:34" s="2004" customFormat="1" ht="18.75" hidden="1" customHeight="1">
      <c r="A203" s="1696"/>
      <c r="B203" s="1696"/>
      <c r="C203" s="303" t="s">
        <v>1178</v>
      </c>
      <c r="D203" s="3353"/>
      <c r="E203" s="3154"/>
      <c r="F203" s="3296"/>
      <c r="G203" s="3328"/>
      <c r="H203" s="1417"/>
      <c r="I203" s="585" t="s">
        <v>1177</v>
      </c>
      <c r="J203" s="505"/>
      <c r="K203" s="1417"/>
      <c r="L203" s="149"/>
      <c r="M203" s="276"/>
      <c r="N203" s="269"/>
      <c r="O203" s="1541"/>
      <c r="P203" s="1541"/>
      <c r="AH203" s="1548">
        <v>0</v>
      </c>
    </row>
    <row r="204" spans="1:34" s="2004" customFormat="1" ht="0.75" hidden="1" customHeight="1">
      <c r="A204" s="1696"/>
      <c r="B204" s="1696"/>
      <c r="C204" s="303" t="s">
        <v>1187</v>
      </c>
      <c r="D204" s="3353"/>
      <c r="E204" s="3154"/>
      <c r="F204" s="3296"/>
      <c r="G204" s="334"/>
      <c r="H204" s="1417"/>
      <c r="I204" s="585"/>
      <c r="J204" s="505"/>
      <c r="K204" s="1417"/>
      <c r="L204" s="149"/>
      <c r="M204" s="276"/>
      <c r="N204" s="269"/>
      <c r="O204" s="1541"/>
      <c r="P204" s="1541"/>
      <c r="AH204" s="1548">
        <v>0</v>
      </c>
    </row>
    <row r="205" spans="1:34" s="2004" customFormat="1" ht="18.75" hidden="1" customHeight="1">
      <c r="A205" s="1696" t="s">
        <v>310</v>
      </c>
      <c r="B205" s="1696" t="s">
        <v>311</v>
      </c>
      <c r="C205" s="303"/>
      <c r="D205" s="3353"/>
      <c r="E205" s="3154"/>
      <c r="F205" s="3296" t="str">
        <f>INDEX(PT_DIFFERENTIATION_VTAR,MATCH(A205,PT_DIFFERENTIATION_VTAR_ID,0))</f>
        <v>Тариф на подключение (технологическое присоединение) к централизованной системе водоотведения</v>
      </c>
      <c r="G205" s="3328" t="str">
        <f>INDEX(PT_DIFFERENTIATION_NTAR,MATCH(B205,PT_DIFFERENTIATION_NTAR_ID,0))</f>
        <v/>
      </c>
      <c r="H205" s="1776"/>
      <c r="I205" s="1655"/>
      <c r="J205" s="1689"/>
      <c r="K205" s="1694"/>
      <c r="L205" s="1776" t="s">
        <v>341</v>
      </c>
      <c r="M205" s="276"/>
      <c r="N205" s="269"/>
      <c r="O205" s="1541"/>
      <c r="P205" s="1541"/>
      <c r="AH205" s="1548">
        <v>0</v>
      </c>
    </row>
    <row r="206" spans="1:34" s="2004" customFormat="1" ht="18.75" hidden="1" customHeight="1">
      <c r="A206" s="1696"/>
      <c r="B206" s="1696"/>
      <c r="C206" s="303" t="s">
        <v>1178</v>
      </c>
      <c r="D206" s="3353"/>
      <c r="E206" s="3154"/>
      <c r="F206" s="3296"/>
      <c r="G206" s="3328"/>
      <c r="H206" s="1417"/>
      <c r="I206" s="585" t="s">
        <v>1177</v>
      </c>
      <c r="J206" s="505"/>
      <c r="K206" s="1417"/>
      <c r="L206" s="149"/>
      <c r="M206" s="276"/>
      <c r="N206" s="269"/>
      <c r="O206" s="1541"/>
      <c r="P206" s="1541"/>
      <c r="AH206" s="1548">
        <v>0</v>
      </c>
    </row>
    <row r="207" spans="1:34" s="2004" customFormat="1" ht="1" customHeight="1">
      <c r="A207" s="1696"/>
      <c r="B207" s="1696"/>
      <c r="C207" s="303" t="s">
        <v>1187</v>
      </c>
      <c r="D207" s="3353"/>
      <c r="E207" s="3154"/>
      <c r="F207" s="3296"/>
      <c r="G207" s="334"/>
      <c r="H207" s="1417"/>
      <c r="I207" s="585"/>
      <c r="J207" s="505"/>
      <c r="K207" s="1417"/>
      <c r="L207" s="149"/>
      <c r="M207" s="276"/>
      <c r="N207" s="269"/>
      <c r="O207" s="1541"/>
      <c r="P207" s="1541"/>
      <c r="AH207" s="1548">
        <v>1</v>
      </c>
    </row>
    <row r="208" spans="1:34" ht="27.25" customHeight="1">
      <c r="A208" s="1696"/>
      <c r="B208" s="1696"/>
      <c r="D208" s="310"/>
      <c r="E208" s="83" t="s">
        <v>125</v>
      </c>
      <c r="F208" s="3352"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3352"/>
      <c r="H208" s="3352"/>
      <c r="I208" s="3352"/>
      <c r="J208" s="3352"/>
      <c r="K208" s="3352"/>
      <c r="L208" s="3352"/>
      <c r="M208" s="232"/>
      <c r="N208" s="269"/>
      <c r="AH208" s="308">
        <v>26</v>
      </c>
    </row>
    <row r="209" spans="1:34" s="2004" customFormat="1" ht="60.75" hidden="1" customHeight="1">
      <c r="A209" s="1696" t="s">
        <v>168</v>
      </c>
      <c r="B209" s="1696" t="s">
        <v>169</v>
      </c>
      <c r="C209" s="303"/>
      <c r="D209" s="3353"/>
      <c r="E209" s="3154"/>
      <c r="F209" s="3296"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3328" t="str">
        <f>INDEX(PT_DIFFERENTIATION_NTAR,MATCH(B209,PT_DIFFERENTIATION_NTAR_ID,0))</f>
        <v/>
      </c>
      <c r="H209" s="1776"/>
      <c r="I209" s="1655"/>
      <c r="J209" s="1689"/>
      <c r="K209" s="1694"/>
      <c r="L209" s="1776" t="s">
        <v>341</v>
      </c>
      <c r="M209" s="3124"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269"/>
      <c r="O209" s="1541"/>
      <c r="P209" s="1541"/>
      <c r="AH209" s="1548">
        <v>0</v>
      </c>
    </row>
    <row r="210" spans="1:34" s="2004" customFormat="1" ht="18.75" hidden="1" customHeight="1">
      <c r="A210" s="1696"/>
      <c r="B210" s="1696"/>
      <c r="C210" s="303" t="s">
        <v>1178</v>
      </c>
      <c r="D210" s="3353"/>
      <c r="E210" s="3154"/>
      <c r="F210" s="3296"/>
      <c r="G210" s="3328"/>
      <c r="H210" s="1417"/>
      <c r="I210" s="585" t="s">
        <v>1177</v>
      </c>
      <c r="J210" s="505"/>
      <c r="K210" s="1417"/>
      <c r="L210" s="149"/>
      <c r="M210" s="3125"/>
      <c r="N210" s="269"/>
      <c r="O210" s="1541"/>
      <c r="P210" s="1541"/>
      <c r="AH210" s="1548">
        <v>0</v>
      </c>
    </row>
    <row r="211" spans="1:34" s="2004" customFormat="1" ht="0.75" hidden="1" customHeight="1">
      <c r="A211" s="1696"/>
      <c r="B211" s="1696"/>
      <c r="C211" s="303" t="s">
        <v>1187</v>
      </c>
      <c r="D211" s="3353"/>
      <c r="E211" s="3154"/>
      <c r="F211" s="3296"/>
      <c r="G211" s="334"/>
      <c r="H211" s="1417"/>
      <c r="I211" s="585"/>
      <c r="J211" s="505"/>
      <c r="K211" s="1417"/>
      <c r="L211" s="149"/>
      <c r="M211" s="3125"/>
      <c r="N211" s="269"/>
      <c r="O211" s="1541"/>
      <c r="P211" s="1541"/>
      <c r="AH211" s="1548">
        <v>0</v>
      </c>
    </row>
    <row r="212" spans="1:34" s="2004" customFormat="1" ht="45" customHeight="1">
      <c r="A212" s="1696" t="s">
        <v>175</v>
      </c>
      <c r="B212" s="1696" t="s">
        <v>176</v>
      </c>
      <c r="C212" s="303"/>
      <c r="D212" s="3353"/>
      <c r="E212" s="3154"/>
      <c r="F212" s="3296" t="str">
        <f>INDEX(PT_DIFFERENTIATION_VTAR,MATCH(A212,PT_DIFFERENTIATION_VTAR_ID,0))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12" s="3328" t="str">
        <f>INDEX(PT_DIFFERENTIATION_NTAR,MATCH(B212,PT_DIFFERENTIATION_NTAR_ID,0))</f>
        <v/>
      </c>
      <c r="H212" s="1776"/>
      <c r="I212" s="2996">
        <v>45658</v>
      </c>
      <c r="J212" s="1689">
        <v>46022</v>
      </c>
      <c r="K212" s="1694">
        <v>0</v>
      </c>
      <c r="L212" s="1776" t="s">
        <v>341</v>
      </c>
      <c r="M212" s="3126"/>
      <c r="N212" s="269"/>
      <c r="O212" s="1541"/>
      <c r="P212" s="1541"/>
      <c r="AH212" s="1548">
        <v>0</v>
      </c>
    </row>
    <row r="213" spans="1:34" s="2004" customFormat="1" ht="18.75" customHeight="1">
      <c r="A213" s="1696"/>
      <c r="B213" s="1696"/>
      <c r="C213" s="303" t="s">
        <v>1178</v>
      </c>
      <c r="D213" s="3353"/>
      <c r="E213" s="3154"/>
      <c r="F213" s="3296"/>
      <c r="G213" s="3328"/>
      <c r="H213" s="1417"/>
      <c r="I213" s="585" t="s">
        <v>1177</v>
      </c>
      <c r="J213" s="505"/>
      <c r="K213" s="1417"/>
      <c r="L213" s="149"/>
      <c r="M213" s="1775"/>
      <c r="N213" s="269"/>
      <c r="O213" s="1541"/>
      <c r="P213" s="1541"/>
      <c r="AH213" s="1548">
        <v>0</v>
      </c>
    </row>
    <row r="214" spans="1:34" s="2004" customFormat="1" ht="0.75" customHeight="1">
      <c r="A214" s="1696"/>
      <c r="B214" s="1696"/>
      <c r="C214" s="303" t="s">
        <v>1187</v>
      </c>
      <c r="D214" s="3353"/>
      <c r="E214" s="3154"/>
      <c r="F214" s="3296"/>
      <c r="G214" s="334"/>
      <c r="H214" s="1417"/>
      <c r="I214" s="585"/>
      <c r="J214" s="505"/>
      <c r="K214" s="1417"/>
      <c r="L214" s="149"/>
      <c r="M214" s="276"/>
      <c r="N214" s="269"/>
      <c r="O214" s="1541"/>
      <c r="P214" s="1541"/>
      <c r="AH214" s="1548">
        <v>0</v>
      </c>
    </row>
    <row r="215" spans="1:34" s="2004" customFormat="1" ht="45" customHeight="1">
      <c r="A215" s="1696" t="s">
        <v>191</v>
      </c>
      <c r="B215" s="1696" t="s">
        <v>192</v>
      </c>
      <c r="C215" s="303"/>
      <c r="D215" s="3353"/>
      <c r="E215" s="3154"/>
      <c r="F215" s="3296"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3328" t="str">
        <f>INDEX(PT_DIFFERENTIATION_NTAR,MATCH(B215,PT_DIFFERENTIATION_NTAR_ID,0))</f>
        <v/>
      </c>
      <c r="H215" s="1776"/>
      <c r="I215" s="2996">
        <v>45658</v>
      </c>
      <c r="J215" s="1689">
        <v>46022</v>
      </c>
      <c r="K215" s="1694">
        <v>0</v>
      </c>
      <c r="L215" s="1776" t="s">
        <v>341</v>
      </c>
      <c r="M215" s="276"/>
      <c r="N215" s="269"/>
      <c r="O215" s="1541"/>
      <c r="P215" s="1541"/>
      <c r="AH215" s="1548">
        <v>0</v>
      </c>
    </row>
    <row r="216" spans="1:34" s="2004" customFormat="1" ht="18.75" customHeight="1">
      <c r="A216" s="1696"/>
      <c r="B216" s="1696"/>
      <c r="C216" s="303" t="s">
        <v>1178</v>
      </c>
      <c r="D216" s="3353"/>
      <c r="E216" s="3154"/>
      <c r="F216" s="3296"/>
      <c r="G216" s="3328"/>
      <c r="H216" s="1417"/>
      <c r="I216" s="585" t="s">
        <v>1177</v>
      </c>
      <c r="J216" s="505"/>
      <c r="K216" s="1417"/>
      <c r="L216" s="149"/>
      <c r="M216" s="276"/>
      <c r="N216" s="269"/>
      <c r="O216" s="1541"/>
      <c r="P216" s="1541"/>
      <c r="AH216" s="1548">
        <v>0</v>
      </c>
    </row>
    <row r="217" spans="1:34" s="2004" customFormat="1" ht="0.75" customHeight="1">
      <c r="A217" s="1696"/>
      <c r="B217" s="1696"/>
      <c r="C217" s="303" t="s">
        <v>1187</v>
      </c>
      <c r="D217" s="3353"/>
      <c r="E217" s="3154"/>
      <c r="F217" s="3296"/>
      <c r="G217" s="334"/>
      <c r="H217" s="1417"/>
      <c r="I217" s="585"/>
      <c r="J217" s="505"/>
      <c r="K217" s="1417"/>
      <c r="L217" s="149"/>
      <c r="M217" s="276"/>
      <c r="N217" s="269"/>
      <c r="O217" s="1541"/>
      <c r="P217" s="1541"/>
      <c r="AH217" s="1548">
        <v>0</v>
      </c>
    </row>
    <row r="218" spans="1:34" s="2004" customFormat="1" ht="45" customHeight="1">
      <c r="A218" s="1696" t="s">
        <v>203</v>
      </c>
      <c r="B218" s="1696" t="s">
        <v>204</v>
      </c>
      <c r="C218" s="303"/>
      <c r="D218" s="3353"/>
      <c r="E218" s="3154"/>
      <c r="F218" s="3296"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3328" t="str">
        <f>INDEX(PT_DIFFERENTIATION_NTAR,MATCH(B218,PT_DIFFERENTIATION_NTAR_ID,0))</f>
        <v/>
      </c>
      <c r="H218" s="1776"/>
      <c r="I218" s="2996">
        <v>45658</v>
      </c>
      <c r="J218" s="1689">
        <v>46022</v>
      </c>
      <c r="K218" s="1694">
        <v>0</v>
      </c>
      <c r="L218" s="1776" t="s">
        <v>341</v>
      </c>
      <c r="M218" s="276"/>
      <c r="N218" s="269"/>
      <c r="O218" s="1541"/>
      <c r="P218" s="1541"/>
      <c r="AH218" s="1548">
        <v>0</v>
      </c>
    </row>
    <row r="219" spans="1:34" s="2004" customFormat="1" ht="18.75" customHeight="1">
      <c r="A219" s="1696"/>
      <c r="B219" s="1696"/>
      <c r="C219" s="303" t="s">
        <v>1178</v>
      </c>
      <c r="D219" s="3353"/>
      <c r="E219" s="3154"/>
      <c r="F219" s="3296"/>
      <c r="G219" s="3328"/>
      <c r="H219" s="1417"/>
      <c r="I219" s="585" t="s">
        <v>1177</v>
      </c>
      <c r="J219" s="505"/>
      <c r="K219" s="1417"/>
      <c r="L219" s="149"/>
      <c r="M219" s="276"/>
      <c r="N219" s="269"/>
      <c r="O219" s="1541"/>
      <c r="P219" s="1541"/>
      <c r="AH219" s="1548">
        <v>0</v>
      </c>
    </row>
    <row r="220" spans="1:34" s="2004" customFormat="1" ht="0.75" customHeight="1">
      <c r="A220" s="1696"/>
      <c r="B220" s="1696"/>
      <c r="C220" s="303" t="s">
        <v>1187</v>
      </c>
      <c r="D220" s="3353"/>
      <c r="E220" s="3154"/>
      <c r="F220" s="3296"/>
      <c r="G220" s="334"/>
      <c r="H220" s="1417"/>
      <c r="I220" s="585"/>
      <c r="J220" s="505"/>
      <c r="K220" s="1417"/>
      <c r="L220" s="149"/>
      <c r="M220" s="276"/>
      <c r="N220" s="269"/>
      <c r="O220" s="1541"/>
      <c r="P220" s="1541"/>
      <c r="AH220" s="1548">
        <v>0</v>
      </c>
    </row>
    <row r="221" spans="1:34" s="2004" customFormat="1" ht="18.75" customHeight="1">
      <c r="A221" s="1696" t="s">
        <v>216</v>
      </c>
      <c r="B221" s="1696" t="s">
        <v>217</v>
      </c>
      <c r="C221" s="303"/>
      <c r="D221" s="3353"/>
      <c r="E221" s="3154"/>
      <c r="F221" s="3296" t="str">
        <f>INDEX(PT_DIFFERENTIATION_VTAR,MATCH(A221,PT_DIFFERENTIATION_VTAR_ID,0))</f>
        <v>Тарифы на услуги по передаче тепловой энергии</v>
      </c>
      <c r="G221" s="3328" t="str">
        <f>INDEX(PT_DIFFERENTIATION_NTAR,MATCH(B221,PT_DIFFERENTIATION_NTAR_ID,0))</f>
        <v/>
      </c>
      <c r="H221" s="1776"/>
      <c r="I221" s="2996">
        <v>45658</v>
      </c>
      <c r="J221" s="1689">
        <v>46022</v>
      </c>
      <c r="K221" s="1694">
        <v>0</v>
      </c>
      <c r="L221" s="1776" t="s">
        <v>341</v>
      </c>
      <c r="M221" s="276"/>
      <c r="N221" s="269"/>
      <c r="O221" s="1541"/>
      <c r="P221" s="1541"/>
      <c r="AH221" s="1548">
        <v>0</v>
      </c>
    </row>
    <row r="222" spans="1:34" s="2004" customFormat="1" ht="18.75" customHeight="1">
      <c r="A222" s="1696"/>
      <c r="B222" s="1696"/>
      <c r="C222" s="303" t="s">
        <v>1178</v>
      </c>
      <c r="D222" s="3353"/>
      <c r="E222" s="3154"/>
      <c r="F222" s="3296"/>
      <c r="G222" s="3328"/>
      <c r="H222" s="1417"/>
      <c r="I222" s="585" t="s">
        <v>1177</v>
      </c>
      <c r="J222" s="505"/>
      <c r="K222" s="1417"/>
      <c r="L222" s="149"/>
      <c r="M222" s="276"/>
      <c r="N222" s="269"/>
      <c r="O222" s="1541"/>
      <c r="P222" s="1541"/>
      <c r="AH222" s="1548">
        <v>0</v>
      </c>
    </row>
    <row r="223" spans="1:34" s="2004" customFormat="1" ht="0.75" customHeight="1">
      <c r="A223" s="1696"/>
      <c r="B223" s="1696"/>
      <c r="C223" s="303" t="s">
        <v>1187</v>
      </c>
      <c r="D223" s="3353"/>
      <c r="E223" s="3154"/>
      <c r="F223" s="3296"/>
      <c r="G223" s="334"/>
      <c r="H223" s="1417"/>
      <c r="I223" s="585"/>
      <c r="J223" s="505"/>
      <c r="K223" s="1417"/>
      <c r="L223" s="149"/>
      <c r="M223" s="276"/>
      <c r="N223" s="269"/>
      <c r="O223" s="1541"/>
      <c r="P223" s="1541"/>
      <c r="AH223" s="1548">
        <v>0</v>
      </c>
    </row>
    <row r="224" spans="1:34" s="2004" customFormat="1" ht="18.75" hidden="1" customHeight="1">
      <c r="A224" s="1696" t="s">
        <v>222</v>
      </c>
      <c r="B224" s="1696" t="s">
        <v>223</v>
      </c>
      <c r="C224" s="303"/>
      <c r="D224" s="3353"/>
      <c r="E224" s="3154"/>
      <c r="F224" s="3296" t="str">
        <f>INDEX(PT_DIFFERENTIATION_VTAR,MATCH(A224,PT_DIFFERENTIATION_VTAR_ID,0))</f>
        <v>Тарифы на услуги по передаче теплоносителя</v>
      </c>
      <c r="G224" s="3328" t="str">
        <f>INDEX(PT_DIFFERENTIATION_NTAR,MATCH(B224,PT_DIFFERENTIATION_NTAR_ID,0))</f>
        <v/>
      </c>
      <c r="H224" s="1776"/>
      <c r="I224" s="1655"/>
      <c r="J224" s="1689"/>
      <c r="K224" s="1694"/>
      <c r="L224" s="1776" t="s">
        <v>341</v>
      </c>
      <c r="M224" s="276"/>
      <c r="N224" s="269"/>
      <c r="O224" s="1541"/>
      <c r="P224" s="1541"/>
      <c r="AH224" s="1548">
        <v>0</v>
      </c>
    </row>
    <row r="225" spans="1:34" s="2004" customFormat="1" ht="18.75" hidden="1" customHeight="1">
      <c r="A225" s="1696"/>
      <c r="B225" s="1696"/>
      <c r="C225" s="303" t="s">
        <v>1178</v>
      </c>
      <c r="D225" s="3353"/>
      <c r="E225" s="3154"/>
      <c r="F225" s="3296"/>
      <c r="G225" s="3328"/>
      <c r="H225" s="1417"/>
      <c r="I225" s="585" t="s">
        <v>1177</v>
      </c>
      <c r="J225" s="505"/>
      <c r="K225" s="1417"/>
      <c r="L225" s="149"/>
      <c r="M225" s="276"/>
      <c r="N225" s="269"/>
      <c r="O225" s="1541"/>
      <c r="P225" s="1541"/>
      <c r="AH225" s="1548">
        <v>0</v>
      </c>
    </row>
    <row r="226" spans="1:34" s="2004" customFormat="1" ht="0.75" hidden="1" customHeight="1">
      <c r="A226" s="1696"/>
      <c r="B226" s="1696"/>
      <c r="C226" s="303" t="s">
        <v>1187</v>
      </c>
      <c r="D226" s="3353"/>
      <c r="E226" s="3154"/>
      <c r="F226" s="3296"/>
      <c r="G226" s="334"/>
      <c r="H226" s="1417"/>
      <c r="I226" s="585"/>
      <c r="J226" s="505"/>
      <c r="K226" s="1417"/>
      <c r="L226" s="149"/>
      <c r="M226" s="276"/>
      <c r="N226" s="269"/>
      <c r="O226" s="1541"/>
      <c r="P226" s="1541"/>
      <c r="AH226" s="1548">
        <v>0</v>
      </c>
    </row>
    <row r="227" spans="1:34" s="2004" customFormat="1" ht="18.75" hidden="1" customHeight="1">
      <c r="A227" s="1696" t="s">
        <v>228</v>
      </c>
      <c r="B227" s="1696" t="s">
        <v>229</v>
      </c>
      <c r="C227" s="303"/>
      <c r="D227" s="3353"/>
      <c r="E227" s="3154"/>
      <c r="F227" s="3296" t="str">
        <f>INDEX(PT_DIFFERENTIATION_VTAR,MATCH(A227,PT_DIFFERENTIATION_VTAR_ID,0))</f>
        <v>Плата за услуги по поддержанию резервной тепловой мощности при отсутствии потребления тепловой энергии</v>
      </c>
      <c r="G227" s="3328" t="str">
        <f>INDEX(PT_DIFFERENTIATION_NTAR,MATCH(B227,PT_DIFFERENTIATION_NTAR_ID,0))</f>
        <v/>
      </c>
      <c r="H227" s="1776"/>
      <c r="I227" s="1655"/>
      <c r="J227" s="1689"/>
      <c r="K227" s="1694"/>
      <c r="L227" s="1776" t="s">
        <v>341</v>
      </c>
      <c r="M227" s="276"/>
      <c r="N227" s="269"/>
      <c r="O227" s="1541"/>
      <c r="P227" s="1541"/>
      <c r="AH227" s="1548">
        <v>0</v>
      </c>
    </row>
    <row r="228" spans="1:34" s="2004" customFormat="1" ht="18.75" hidden="1" customHeight="1">
      <c r="A228" s="1696"/>
      <c r="B228" s="1696"/>
      <c r="C228" s="303" t="s">
        <v>1178</v>
      </c>
      <c r="D228" s="3353"/>
      <c r="E228" s="3154"/>
      <c r="F228" s="3296"/>
      <c r="G228" s="3328"/>
      <c r="H228" s="1417"/>
      <c r="I228" s="585" t="s">
        <v>1177</v>
      </c>
      <c r="J228" s="505"/>
      <c r="K228" s="1417"/>
      <c r="L228" s="149"/>
      <c r="M228" s="276"/>
      <c r="N228" s="269"/>
      <c r="O228" s="1541"/>
      <c r="P228" s="1541"/>
      <c r="AH228" s="1548">
        <v>0</v>
      </c>
    </row>
    <row r="229" spans="1:34" s="2004" customFormat="1" ht="0.75" hidden="1" customHeight="1">
      <c r="A229" s="1696"/>
      <c r="B229" s="1696"/>
      <c r="C229" s="303" t="s">
        <v>1187</v>
      </c>
      <c r="D229" s="3353"/>
      <c r="E229" s="3154"/>
      <c r="F229" s="3296"/>
      <c r="G229" s="334"/>
      <c r="H229" s="1417"/>
      <c r="I229" s="585"/>
      <c r="J229" s="505"/>
      <c r="K229" s="1417"/>
      <c r="L229" s="149"/>
      <c r="M229" s="276"/>
      <c r="N229" s="269"/>
      <c r="O229" s="1541"/>
      <c r="P229" s="1541"/>
      <c r="AH229" s="1548">
        <v>0</v>
      </c>
    </row>
    <row r="230" spans="1:34" s="2004" customFormat="1" ht="18.75" hidden="1" customHeight="1">
      <c r="A230" s="1696" t="s">
        <v>234</v>
      </c>
      <c r="B230" s="1696" t="s">
        <v>235</v>
      </c>
      <c r="C230" s="303"/>
      <c r="D230" s="3353"/>
      <c r="E230" s="3154"/>
      <c r="F230" s="3296" t="str">
        <f>INDEX(PT_DIFFERENTIATION_VTAR,MATCH(A230,PT_DIFFERENTIATION_VTAR_ID,0))</f>
        <v>Плата за подключение (технологическое присоединение) к системе теплоснабжения</v>
      </c>
      <c r="G230" s="3328" t="str">
        <f>INDEX(PT_DIFFERENTIATION_NTAR,MATCH(B230,PT_DIFFERENTIATION_NTAR_ID,0))</f>
        <v/>
      </c>
      <c r="H230" s="1776"/>
      <c r="I230" s="1655"/>
      <c r="J230" s="1689"/>
      <c r="K230" s="1694"/>
      <c r="L230" s="1776" t="s">
        <v>341</v>
      </c>
      <c r="M230" s="276"/>
      <c r="N230" s="269"/>
      <c r="O230" s="1541"/>
      <c r="P230" s="1541"/>
      <c r="AH230" s="1548">
        <v>0</v>
      </c>
    </row>
    <row r="231" spans="1:34" s="2004" customFormat="1" ht="18.75" hidden="1" customHeight="1">
      <c r="A231" s="1696"/>
      <c r="B231" s="1696"/>
      <c r="C231" s="303" t="s">
        <v>1178</v>
      </c>
      <c r="D231" s="3353"/>
      <c r="E231" s="3154"/>
      <c r="F231" s="3296"/>
      <c r="G231" s="3328"/>
      <c r="H231" s="1417"/>
      <c r="I231" s="585" t="s">
        <v>1177</v>
      </c>
      <c r="J231" s="505"/>
      <c r="K231" s="1417"/>
      <c r="L231" s="149"/>
      <c r="M231" s="276"/>
      <c r="N231" s="269"/>
      <c r="O231" s="1541"/>
      <c r="P231" s="1541"/>
      <c r="AH231" s="1548">
        <v>0</v>
      </c>
    </row>
    <row r="232" spans="1:34" s="2004" customFormat="1" ht="0.75" hidden="1" customHeight="1">
      <c r="A232" s="1696"/>
      <c r="B232" s="1696"/>
      <c r="C232" s="303" t="s">
        <v>1187</v>
      </c>
      <c r="D232" s="3353"/>
      <c r="E232" s="3154"/>
      <c r="F232" s="3296"/>
      <c r="G232" s="334"/>
      <c r="H232" s="1417"/>
      <c r="I232" s="585"/>
      <c r="J232" s="505"/>
      <c r="K232" s="1417"/>
      <c r="L232" s="149"/>
      <c r="M232" s="276"/>
      <c r="N232" s="269"/>
      <c r="O232" s="1541"/>
      <c r="P232" s="1541"/>
      <c r="AH232" s="1548">
        <v>0</v>
      </c>
    </row>
    <row r="233" spans="1:34" s="2004" customFormat="1" ht="18.75" hidden="1" customHeight="1">
      <c r="A233" s="1696" t="s">
        <v>240</v>
      </c>
      <c r="B233" s="1696" t="s">
        <v>241</v>
      </c>
      <c r="C233" s="303"/>
      <c r="D233" s="3353"/>
      <c r="E233" s="3154"/>
      <c r="F233" s="3296" t="str">
        <f>INDEX(PT_DIFFERENTIATION_VTAR,MATCH(A233,PT_DIFFERENTIATION_VTAR_ID,0))</f>
        <v>Плата за подключение (технологическое присоединение) к системе теплоснабжения (индивидуальная)</v>
      </c>
      <c r="G233" s="3328" t="str">
        <f>INDEX(PT_DIFFERENTIATION_NTAR,MATCH(B233,PT_DIFFERENTIATION_NTAR_ID,0))</f>
        <v/>
      </c>
      <c r="H233" s="1900"/>
      <c r="I233" s="1655"/>
      <c r="J233" s="1689"/>
      <c r="K233" s="1694"/>
      <c r="L233" s="1900" t="s">
        <v>341</v>
      </c>
      <c r="M233" s="276"/>
      <c r="N233" s="269"/>
      <c r="O233" s="1541"/>
      <c r="P233" s="1541"/>
      <c r="AH233" s="1548">
        <v>0</v>
      </c>
    </row>
    <row r="234" spans="1:34" s="2004" customFormat="1" ht="18.75" hidden="1" customHeight="1">
      <c r="A234" s="1696"/>
      <c r="B234" s="1696"/>
      <c r="C234" s="303" t="s">
        <v>1178</v>
      </c>
      <c r="D234" s="3353"/>
      <c r="E234" s="3154"/>
      <c r="F234" s="3296"/>
      <c r="G234" s="3328"/>
      <c r="H234" s="1417"/>
      <c r="I234" s="585" t="s">
        <v>1177</v>
      </c>
      <c r="J234" s="505"/>
      <c r="K234" s="1417"/>
      <c r="L234" s="149"/>
      <c r="M234" s="276"/>
      <c r="N234" s="269"/>
      <c r="O234" s="1541"/>
      <c r="P234" s="1541"/>
      <c r="AH234" s="1548">
        <v>0</v>
      </c>
    </row>
    <row r="235" spans="1:34" s="2004" customFormat="1" ht="0.75" hidden="1" customHeight="1">
      <c r="A235" s="1696"/>
      <c r="B235" s="1696"/>
      <c r="C235" s="303" t="s">
        <v>1187</v>
      </c>
      <c r="D235" s="3353"/>
      <c r="E235" s="3154"/>
      <c r="F235" s="3296"/>
      <c r="G235" s="334"/>
      <c r="H235" s="1417"/>
      <c r="I235" s="585"/>
      <c r="J235" s="505"/>
      <c r="K235" s="1417"/>
      <c r="L235" s="149"/>
      <c r="M235" s="276"/>
      <c r="N235" s="269"/>
      <c r="O235" s="1541"/>
      <c r="P235" s="1541"/>
      <c r="AH235" s="1548">
        <v>0</v>
      </c>
    </row>
    <row r="236" spans="1:34" s="2004" customFormat="1" ht="18.75" hidden="1" customHeight="1">
      <c r="A236" s="1696" t="s">
        <v>260</v>
      </c>
      <c r="B236" s="1696" t="s">
        <v>261</v>
      </c>
      <c r="C236" s="303"/>
      <c r="D236" s="3353"/>
      <c r="E236" s="3154"/>
      <c r="F236" s="3296" t="str">
        <f>INDEX(PT_DIFFERENTIATION_VTAR,MATCH(A236,PT_DIFFERENTIATION_VTAR_ID,0))</f>
        <v>Тариф на питьевую воду (питьевое водоснабжение)</v>
      </c>
      <c r="G236" s="3328" t="str">
        <f>INDEX(PT_DIFFERENTIATION_NTAR,MATCH(B236,PT_DIFFERENTIATION_NTAR_ID,0))</f>
        <v/>
      </c>
      <c r="H236" s="1776"/>
      <c r="I236" s="1655"/>
      <c r="J236" s="1689"/>
      <c r="K236" s="1694"/>
      <c r="L236" s="1776" t="s">
        <v>341</v>
      </c>
      <c r="M236" s="276"/>
      <c r="N236" s="269"/>
      <c r="O236" s="1541"/>
      <c r="P236" s="1541"/>
      <c r="AH236" s="1548">
        <v>0</v>
      </c>
    </row>
    <row r="237" spans="1:34" s="2004" customFormat="1" ht="18.75" hidden="1" customHeight="1">
      <c r="A237" s="1696"/>
      <c r="B237" s="1696"/>
      <c r="C237" s="303" t="s">
        <v>1178</v>
      </c>
      <c r="D237" s="3353"/>
      <c r="E237" s="3154"/>
      <c r="F237" s="3296"/>
      <c r="G237" s="3328"/>
      <c r="H237" s="1417"/>
      <c r="I237" s="585" t="s">
        <v>1177</v>
      </c>
      <c r="J237" s="505"/>
      <c r="K237" s="1417"/>
      <c r="L237" s="149"/>
      <c r="M237" s="276"/>
      <c r="N237" s="269"/>
      <c r="O237" s="1541"/>
      <c r="P237" s="1541"/>
      <c r="AH237" s="1548">
        <v>0</v>
      </c>
    </row>
    <row r="238" spans="1:34" s="2004" customFormat="1" ht="0.75" hidden="1" customHeight="1">
      <c r="A238" s="1696"/>
      <c r="B238" s="1696"/>
      <c r="C238" s="303" t="s">
        <v>1187</v>
      </c>
      <c r="D238" s="3353"/>
      <c r="E238" s="3154"/>
      <c r="F238" s="3296"/>
      <c r="G238" s="334"/>
      <c r="H238" s="1417"/>
      <c r="I238" s="585"/>
      <c r="J238" s="505"/>
      <c r="K238" s="1417"/>
      <c r="L238" s="149"/>
      <c r="M238" s="276"/>
      <c r="N238" s="269"/>
      <c r="O238" s="1541"/>
      <c r="P238" s="1541"/>
      <c r="AH238" s="1548">
        <v>0</v>
      </c>
    </row>
    <row r="239" spans="1:34" s="2004" customFormat="1" ht="18.75" hidden="1" customHeight="1">
      <c r="A239" s="1696" t="s">
        <v>265</v>
      </c>
      <c r="B239" s="1696" t="s">
        <v>266</v>
      </c>
      <c r="C239" s="303"/>
      <c r="D239" s="3353"/>
      <c r="E239" s="3154"/>
      <c r="F239" s="3296" t="str">
        <f>INDEX(PT_DIFFERENTIATION_VTAR,MATCH(A239,PT_DIFFERENTIATION_VTAR_ID,0))</f>
        <v>Тариф на техническую воду</v>
      </c>
      <c r="G239" s="3328" t="str">
        <f>INDEX(PT_DIFFERENTIATION_NTAR,MATCH(B239,PT_DIFFERENTIATION_NTAR_ID,0))</f>
        <v/>
      </c>
      <c r="H239" s="1776"/>
      <c r="I239" s="1655"/>
      <c r="J239" s="1689"/>
      <c r="K239" s="1694"/>
      <c r="L239" s="1776" t="s">
        <v>341</v>
      </c>
      <c r="M239" s="276"/>
      <c r="N239" s="269"/>
      <c r="O239" s="1541"/>
      <c r="P239" s="1541"/>
      <c r="AH239" s="1548">
        <v>0</v>
      </c>
    </row>
    <row r="240" spans="1:34" s="2004" customFormat="1" ht="18.75" hidden="1" customHeight="1">
      <c r="A240" s="1696"/>
      <c r="B240" s="1696"/>
      <c r="C240" s="303" t="s">
        <v>1178</v>
      </c>
      <c r="D240" s="3353"/>
      <c r="E240" s="3154"/>
      <c r="F240" s="3296"/>
      <c r="G240" s="3328"/>
      <c r="H240" s="1417"/>
      <c r="I240" s="585" t="s">
        <v>1177</v>
      </c>
      <c r="J240" s="505"/>
      <c r="K240" s="1417"/>
      <c r="L240" s="149"/>
      <c r="M240" s="276"/>
      <c r="N240" s="269"/>
      <c r="O240" s="1541"/>
      <c r="P240" s="1541"/>
      <c r="AH240" s="1548">
        <v>0</v>
      </c>
    </row>
    <row r="241" spans="1:34" s="2004" customFormat="1" ht="0.75" hidden="1" customHeight="1">
      <c r="A241" s="1696"/>
      <c r="B241" s="1696"/>
      <c r="C241" s="303" t="s">
        <v>1187</v>
      </c>
      <c r="D241" s="3353"/>
      <c r="E241" s="3154"/>
      <c r="F241" s="3296"/>
      <c r="G241" s="334"/>
      <c r="H241" s="1417"/>
      <c r="I241" s="585"/>
      <c r="J241" s="505"/>
      <c r="K241" s="1417"/>
      <c r="L241" s="149"/>
      <c r="M241" s="276"/>
      <c r="N241" s="269"/>
      <c r="O241" s="1541"/>
      <c r="P241" s="1541"/>
      <c r="AH241" s="1548">
        <v>0</v>
      </c>
    </row>
    <row r="242" spans="1:34" s="2004" customFormat="1" ht="18.75" hidden="1" customHeight="1">
      <c r="A242" s="1696" t="s">
        <v>270</v>
      </c>
      <c r="B242" s="1696" t="s">
        <v>271</v>
      </c>
      <c r="C242" s="303"/>
      <c r="D242" s="3353"/>
      <c r="E242" s="3154"/>
      <c r="F242" s="3296" t="str">
        <f>INDEX(PT_DIFFERENTIATION_VTAR,MATCH(A242,PT_DIFFERENTIATION_VTAR_ID,0))</f>
        <v>Тариф на транспортировку воды</v>
      </c>
      <c r="G242" s="3328" t="str">
        <f>INDEX(PT_DIFFERENTIATION_NTAR,MATCH(B242,PT_DIFFERENTIATION_NTAR_ID,0))</f>
        <v/>
      </c>
      <c r="H242" s="1776"/>
      <c r="I242" s="1655"/>
      <c r="J242" s="1689"/>
      <c r="K242" s="1694"/>
      <c r="L242" s="1776" t="s">
        <v>341</v>
      </c>
      <c r="M242" s="276"/>
      <c r="N242" s="269"/>
      <c r="O242" s="1541"/>
      <c r="P242" s="1541"/>
      <c r="AH242" s="1548">
        <v>0</v>
      </c>
    </row>
    <row r="243" spans="1:34" s="2004" customFormat="1" ht="18.75" hidden="1" customHeight="1">
      <c r="A243" s="1696"/>
      <c r="B243" s="1696"/>
      <c r="C243" s="303" t="s">
        <v>1178</v>
      </c>
      <c r="D243" s="3353"/>
      <c r="E243" s="3154"/>
      <c r="F243" s="3296"/>
      <c r="G243" s="3328"/>
      <c r="H243" s="1417"/>
      <c r="I243" s="585" t="s">
        <v>1177</v>
      </c>
      <c r="J243" s="505"/>
      <c r="K243" s="1417"/>
      <c r="L243" s="149"/>
      <c r="M243" s="276"/>
      <c r="N243" s="269"/>
      <c r="O243" s="1541"/>
      <c r="P243" s="1541"/>
      <c r="AH243" s="1548">
        <v>0</v>
      </c>
    </row>
    <row r="244" spans="1:34" s="2004" customFormat="1" ht="0.75" hidden="1" customHeight="1">
      <c r="A244" s="1696"/>
      <c r="B244" s="1696"/>
      <c r="C244" s="303" t="s">
        <v>1187</v>
      </c>
      <c r="D244" s="3353"/>
      <c r="E244" s="3154"/>
      <c r="F244" s="3296"/>
      <c r="G244" s="334"/>
      <c r="H244" s="1417"/>
      <c r="I244" s="585"/>
      <c r="J244" s="505"/>
      <c r="K244" s="1417"/>
      <c r="L244" s="149"/>
      <c r="M244" s="276"/>
      <c r="N244" s="269"/>
      <c r="O244" s="1541"/>
      <c r="P244" s="1541"/>
      <c r="AH244" s="1548">
        <v>0</v>
      </c>
    </row>
    <row r="245" spans="1:34" s="2004" customFormat="1" ht="18.75" hidden="1" customHeight="1">
      <c r="A245" s="1696" t="s">
        <v>275</v>
      </c>
      <c r="B245" s="1696" t="s">
        <v>276</v>
      </c>
      <c r="C245" s="303"/>
      <c r="D245" s="3353"/>
      <c r="E245" s="3154"/>
      <c r="F245" s="3296" t="str">
        <f>INDEX(PT_DIFFERENTIATION_VTAR,MATCH(A245,PT_DIFFERENTIATION_VTAR_ID,0))</f>
        <v>Тариф на подвоз воды</v>
      </c>
      <c r="G245" s="3328" t="str">
        <f>INDEX(PT_DIFFERENTIATION_NTAR,MATCH(B245,PT_DIFFERENTIATION_NTAR_ID,0))</f>
        <v/>
      </c>
      <c r="H245" s="1776"/>
      <c r="I245" s="1655"/>
      <c r="J245" s="1689"/>
      <c r="K245" s="1694"/>
      <c r="L245" s="1776" t="s">
        <v>341</v>
      </c>
      <c r="M245" s="276"/>
      <c r="N245" s="269"/>
      <c r="O245" s="1541"/>
      <c r="P245" s="1541"/>
      <c r="AH245" s="1548">
        <v>0</v>
      </c>
    </row>
    <row r="246" spans="1:34" s="2004" customFormat="1" ht="18.75" hidden="1" customHeight="1">
      <c r="A246" s="1696"/>
      <c r="B246" s="1696"/>
      <c r="C246" s="303" t="s">
        <v>1178</v>
      </c>
      <c r="D246" s="3353"/>
      <c r="E246" s="3154"/>
      <c r="F246" s="3296"/>
      <c r="G246" s="3328"/>
      <c r="H246" s="1417"/>
      <c r="I246" s="585" t="s">
        <v>1177</v>
      </c>
      <c r="J246" s="505"/>
      <c r="K246" s="1417"/>
      <c r="L246" s="149"/>
      <c r="M246" s="276"/>
      <c r="N246" s="269"/>
      <c r="O246" s="1541"/>
      <c r="P246" s="1541"/>
      <c r="AH246" s="1548">
        <v>0</v>
      </c>
    </row>
    <row r="247" spans="1:34" s="2004" customFormat="1" ht="0.75" hidden="1" customHeight="1">
      <c r="A247" s="1696"/>
      <c r="B247" s="1696"/>
      <c r="C247" s="303" t="s">
        <v>1187</v>
      </c>
      <c r="D247" s="3353"/>
      <c r="E247" s="3154"/>
      <c r="F247" s="3296"/>
      <c r="G247" s="334"/>
      <c r="H247" s="1417"/>
      <c r="I247" s="585"/>
      <c r="J247" s="505"/>
      <c r="K247" s="1417"/>
      <c r="L247" s="149"/>
      <c r="M247" s="276"/>
      <c r="N247" s="269"/>
      <c r="O247" s="1541"/>
      <c r="P247" s="1541"/>
      <c r="AH247" s="1548">
        <v>0</v>
      </c>
    </row>
    <row r="248" spans="1:34" s="2004" customFormat="1" ht="18.75" hidden="1" customHeight="1">
      <c r="A248" s="1696" t="s">
        <v>280</v>
      </c>
      <c r="B248" s="1696" t="s">
        <v>281</v>
      </c>
      <c r="C248" s="303"/>
      <c r="D248" s="3353"/>
      <c r="E248" s="3154"/>
      <c r="F248" s="3296"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3328" t="str">
        <f>INDEX(PT_DIFFERENTIATION_NTAR,MATCH(B248,PT_DIFFERENTIATION_NTAR_ID,0))</f>
        <v/>
      </c>
      <c r="H248" s="1776"/>
      <c r="I248" s="1655"/>
      <c r="J248" s="1689"/>
      <c r="K248" s="1694"/>
      <c r="L248" s="1776" t="s">
        <v>341</v>
      </c>
      <c r="M248" s="276"/>
      <c r="N248" s="269"/>
      <c r="O248" s="1541"/>
      <c r="P248" s="1541"/>
      <c r="AH248" s="1548">
        <v>0</v>
      </c>
    </row>
    <row r="249" spans="1:34" s="2004" customFormat="1" ht="18.75" hidden="1" customHeight="1">
      <c r="A249" s="1696"/>
      <c r="B249" s="1696"/>
      <c r="C249" s="303" t="s">
        <v>1178</v>
      </c>
      <c r="D249" s="3353"/>
      <c r="E249" s="3154"/>
      <c r="F249" s="3296"/>
      <c r="G249" s="3328"/>
      <c r="H249" s="1417"/>
      <c r="I249" s="585" t="s">
        <v>1177</v>
      </c>
      <c r="J249" s="505"/>
      <c r="K249" s="1417"/>
      <c r="L249" s="149"/>
      <c r="M249" s="276"/>
      <c r="N249" s="269"/>
      <c r="O249" s="1541"/>
      <c r="P249" s="1541"/>
      <c r="AH249" s="1548">
        <v>0</v>
      </c>
    </row>
    <row r="250" spans="1:34" s="2004" customFormat="1" ht="0.75" hidden="1" customHeight="1">
      <c r="A250" s="1696"/>
      <c r="B250" s="1696"/>
      <c r="C250" s="303" t="s">
        <v>1187</v>
      </c>
      <c r="D250" s="3353"/>
      <c r="E250" s="3154"/>
      <c r="F250" s="3296"/>
      <c r="G250" s="334"/>
      <c r="H250" s="1417"/>
      <c r="I250" s="585"/>
      <c r="J250" s="505"/>
      <c r="K250" s="1417"/>
      <c r="L250" s="149"/>
      <c r="M250" s="276"/>
      <c r="N250" s="269"/>
      <c r="O250" s="1541"/>
      <c r="P250" s="1541"/>
      <c r="AH250" s="1548">
        <v>0</v>
      </c>
    </row>
    <row r="251" spans="1:34" s="2004" customFormat="1" ht="18.75" hidden="1" customHeight="1">
      <c r="A251" s="1696" t="s">
        <v>285</v>
      </c>
      <c r="B251" s="1696" t="s">
        <v>286</v>
      </c>
      <c r="C251" s="303"/>
      <c r="D251" s="3353"/>
      <c r="E251" s="3154"/>
      <c r="F251" s="3296" t="str">
        <f>INDEX(PT_DIFFERENTIATION_VTAR,MATCH(A251,PT_DIFFERENTIATION_VTAR_ID,0))</f>
        <v>Тариф на горячую воду (горячее водоснабжение)</v>
      </c>
      <c r="G251" s="3328" t="str">
        <f>INDEX(PT_DIFFERENTIATION_NTAR,MATCH(B251,PT_DIFFERENTIATION_NTAR_ID,0))</f>
        <v/>
      </c>
      <c r="H251" s="1776"/>
      <c r="I251" s="1655"/>
      <c r="J251" s="1689"/>
      <c r="K251" s="1694"/>
      <c r="L251" s="1776" t="s">
        <v>341</v>
      </c>
      <c r="M251" s="276"/>
      <c r="N251" s="269"/>
      <c r="O251" s="1541"/>
      <c r="P251" s="1541"/>
      <c r="AH251" s="1548">
        <v>0</v>
      </c>
    </row>
    <row r="252" spans="1:34" s="2004" customFormat="1" ht="18.75" hidden="1" customHeight="1">
      <c r="A252" s="1696"/>
      <c r="B252" s="1696"/>
      <c r="C252" s="303" t="s">
        <v>1178</v>
      </c>
      <c r="D252" s="3353"/>
      <c r="E252" s="3154"/>
      <c r="F252" s="3296"/>
      <c r="G252" s="3328"/>
      <c r="H252" s="1417"/>
      <c r="I252" s="585" t="s">
        <v>1177</v>
      </c>
      <c r="J252" s="505"/>
      <c r="K252" s="1417"/>
      <c r="L252" s="149"/>
      <c r="M252" s="276"/>
      <c r="N252" s="269"/>
      <c r="O252" s="1541"/>
      <c r="P252" s="1541"/>
      <c r="AH252" s="1548">
        <v>0</v>
      </c>
    </row>
    <row r="253" spans="1:34" s="2004" customFormat="1" ht="0.75" hidden="1" customHeight="1">
      <c r="A253" s="1696"/>
      <c r="B253" s="1696"/>
      <c r="C253" s="303" t="s">
        <v>1187</v>
      </c>
      <c r="D253" s="3353"/>
      <c r="E253" s="3154"/>
      <c r="F253" s="3296"/>
      <c r="G253" s="334"/>
      <c r="H253" s="1417"/>
      <c r="I253" s="585"/>
      <c r="J253" s="505"/>
      <c r="K253" s="1417"/>
      <c r="L253" s="149"/>
      <c r="M253" s="276"/>
      <c r="N253" s="269"/>
      <c r="O253" s="1541"/>
      <c r="P253" s="1541"/>
      <c r="AH253" s="1548">
        <v>0</v>
      </c>
    </row>
    <row r="254" spans="1:34" s="2004" customFormat="1" ht="18.75" hidden="1" customHeight="1">
      <c r="A254" s="1696" t="s">
        <v>290</v>
      </c>
      <c r="B254" s="1696" t="s">
        <v>291</v>
      </c>
      <c r="C254" s="303"/>
      <c r="D254" s="3353"/>
      <c r="E254" s="3154"/>
      <c r="F254" s="3296" t="str">
        <f>INDEX(PT_DIFFERENTIATION_VTAR,MATCH(A254,PT_DIFFERENTIATION_VTAR_ID,0))</f>
        <v>Тариф на транспортировку горячей воды</v>
      </c>
      <c r="G254" s="3328" t="str">
        <f>INDEX(PT_DIFFERENTIATION_NTAR,MATCH(B254,PT_DIFFERENTIATION_NTAR_ID,0))</f>
        <v/>
      </c>
      <c r="H254" s="1776"/>
      <c r="I254" s="1655"/>
      <c r="J254" s="1689"/>
      <c r="K254" s="1694"/>
      <c r="L254" s="1776" t="s">
        <v>341</v>
      </c>
      <c r="M254" s="276"/>
      <c r="N254" s="269"/>
      <c r="O254" s="1541"/>
      <c r="P254" s="1541"/>
      <c r="AH254" s="1548">
        <v>0</v>
      </c>
    </row>
    <row r="255" spans="1:34" s="2004" customFormat="1" ht="18.75" hidden="1" customHeight="1">
      <c r="A255" s="1696"/>
      <c r="B255" s="1696"/>
      <c r="C255" s="303" t="s">
        <v>1178</v>
      </c>
      <c r="D255" s="3353"/>
      <c r="E255" s="3154"/>
      <c r="F255" s="3296"/>
      <c r="G255" s="3328"/>
      <c r="H255" s="1417"/>
      <c r="I255" s="585" t="s">
        <v>1177</v>
      </c>
      <c r="J255" s="505"/>
      <c r="K255" s="1417"/>
      <c r="L255" s="149"/>
      <c r="M255" s="276"/>
      <c r="N255" s="269"/>
      <c r="O255" s="1541"/>
      <c r="P255" s="1541"/>
      <c r="AH255" s="1548">
        <v>0</v>
      </c>
    </row>
    <row r="256" spans="1:34" s="2004" customFormat="1" ht="0.75" hidden="1" customHeight="1">
      <c r="A256" s="1696"/>
      <c r="B256" s="1696"/>
      <c r="C256" s="303" t="s">
        <v>1187</v>
      </c>
      <c r="D256" s="3353"/>
      <c r="E256" s="3154"/>
      <c r="F256" s="3296"/>
      <c r="G256" s="334"/>
      <c r="H256" s="1417"/>
      <c r="I256" s="585"/>
      <c r="J256" s="505"/>
      <c r="K256" s="1417"/>
      <c r="L256" s="149"/>
      <c r="M256" s="276"/>
      <c r="N256" s="269"/>
      <c r="O256" s="1541"/>
      <c r="P256" s="1541"/>
      <c r="AH256" s="1548">
        <v>0</v>
      </c>
    </row>
    <row r="257" spans="1:34" s="2004" customFormat="1" ht="18.75" hidden="1" customHeight="1">
      <c r="A257" s="1696" t="s">
        <v>295</v>
      </c>
      <c r="B257" s="1696" t="s">
        <v>296</v>
      </c>
      <c r="C257" s="303"/>
      <c r="D257" s="3353"/>
      <c r="E257" s="3154"/>
      <c r="F257" s="3296" t="str">
        <f>INDEX(PT_DIFFERENTIATION_VTAR,MATCH(A257,PT_DIFFERENTIATION_VTAR_ID,0))</f>
        <v>Тариф на подключение (технологическое присоединение) к централизованной системе горячего водоснабжения</v>
      </c>
      <c r="G257" s="3328" t="str">
        <f>INDEX(PT_DIFFERENTIATION_NTAR,MATCH(B257,PT_DIFFERENTIATION_NTAR_ID,0))</f>
        <v/>
      </c>
      <c r="H257" s="1776"/>
      <c r="I257" s="1655"/>
      <c r="J257" s="1689"/>
      <c r="K257" s="1694"/>
      <c r="L257" s="1776" t="s">
        <v>341</v>
      </c>
      <c r="M257" s="276"/>
      <c r="N257" s="269"/>
      <c r="O257" s="1541"/>
      <c r="P257" s="1541"/>
      <c r="AH257" s="1548">
        <v>0</v>
      </c>
    </row>
    <row r="258" spans="1:34" s="2004" customFormat="1" ht="18.75" hidden="1" customHeight="1">
      <c r="A258" s="1696"/>
      <c r="B258" s="1696"/>
      <c r="C258" s="303" t="s">
        <v>1178</v>
      </c>
      <c r="D258" s="3353"/>
      <c r="E258" s="3154"/>
      <c r="F258" s="3296"/>
      <c r="G258" s="3328"/>
      <c r="H258" s="1417"/>
      <c r="I258" s="585" t="s">
        <v>1177</v>
      </c>
      <c r="J258" s="505"/>
      <c r="K258" s="1417"/>
      <c r="L258" s="149"/>
      <c r="M258" s="276"/>
      <c r="N258" s="269"/>
      <c r="O258" s="1541"/>
      <c r="P258" s="1541"/>
      <c r="AH258" s="1548">
        <v>0</v>
      </c>
    </row>
    <row r="259" spans="1:34" s="2004" customFormat="1" ht="0.75" hidden="1" customHeight="1">
      <c r="A259" s="1696"/>
      <c r="B259" s="1696"/>
      <c r="C259" s="303" t="s">
        <v>1187</v>
      </c>
      <c r="D259" s="3353"/>
      <c r="E259" s="3154"/>
      <c r="F259" s="3296"/>
      <c r="G259" s="334"/>
      <c r="H259" s="1417"/>
      <c r="I259" s="585"/>
      <c r="J259" s="505"/>
      <c r="K259" s="1417"/>
      <c r="L259" s="149"/>
      <c r="M259" s="276"/>
      <c r="N259" s="269"/>
      <c r="O259" s="1541"/>
      <c r="P259" s="1541"/>
      <c r="AH259" s="1548">
        <v>0</v>
      </c>
    </row>
    <row r="260" spans="1:34" s="2004" customFormat="1" ht="18.75" hidden="1" customHeight="1">
      <c r="A260" s="1696" t="s">
        <v>300</v>
      </c>
      <c r="B260" s="1696" t="s">
        <v>301</v>
      </c>
      <c r="C260" s="303"/>
      <c r="D260" s="3353"/>
      <c r="E260" s="3154"/>
      <c r="F260" s="3296" t="str">
        <f>INDEX(PT_DIFFERENTIATION_VTAR,MATCH(A260,PT_DIFFERENTIATION_VTAR_ID,0))</f>
        <v>Тариф на водоотведение</v>
      </c>
      <c r="G260" s="3328" t="str">
        <f>INDEX(PT_DIFFERENTIATION_NTAR,MATCH(B260,PT_DIFFERENTIATION_NTAR_ID,0))</f>
        <v/>
      </c>
      <c r="H260" s="1776"/>
      <c r="I260" s="1655"/>
      <c r="J260" s="1689"/>
      <c r="K260" s="1694"/>
      <c r="L260" s="1776" t="s">
        <v>341</v>
      </c>
      <c r="M260" s="276"/>
      <c r="N260" s="269"/>
      <c r="O260" s="1541"/>
      <c r="P260" s="1541"/>
      <c r="AH260" s="1548">
        <v>0</v>
      </c>
    </row>
    <row r="261" spans="1:34" s="2004" customFormat="1" ht="18.75" hidden="1" customHeight="1">
      <c r="A261" s="1696"/>
      <c r="B261" s="1696"/>
      <c r="C261" s="303" t="s">
        <v>1178</v>
      </c>
      <c r="D261" s="3353"/>
      <c r="E261" s="3154"/>
      <c r="F261" s="3296"/>
      <c r="G261" s="3328"/>
      <c r="H261" s="1417"/>
      <c r="I261" s="585" t="s">
        <v>1177</v>
      </c>
      <c r="J261" s="505"/>
      <c r="K261" s="1417"/>
      <c r="L261" s="149"/>
      <c r="M261" s="276"/>
      <c r="N261" s="269"/>
      <c r="O261" s="1541"/>
      <c r="P261" s="1541"/>
      <c r="AH261" s="1548">
        <v>0</v>
      </c>
    </row>
    <row r="262" spans="1:34" s="2004" customFormat="1" ht="0.75" hidden="1" customHeight="1">
      <c r="A262" s="1696"/>
      <c r="B262" s="1696"/>
      <c r="C262" s="303" t="s">
        <v>1187</v>
      </c>
      <c r="D262" s="3353"/>
      <c r="E262" s="3154"/>
      <c r="F262" s="3296"/>
      <c r="G262" s="334"/>
      <c r="H262" s="1417"/>
      <c r="I262" s="585"/>
      <c r="J262" s="505"/>
      <c r="K262" s="1417"/>
      <c r="L262" s="149"/>
      <c r="M262" s="276"/>
      <c r="N262" s="269"/>
      <c r="O262" s="1541"/>
      <c r="P262" s="1541"/>
      <c r="AH262" s="1548">
        <v>0</v>
      </c>
    </row>
    <row r="263" spans="1:34" s="2004" customFormat="1" ht="18.75" hidden="1" customHeight="1">
      <c r="A263" s="1696" t="s">
        <v>305</v>
      </c>
      <c r="B263" s="1696" t="s">
        <v>306</v>
      </c>
      <c r="C263" s="303"/>
      <c r="D263" s="3353"/>
      <c r="E263" s="3154"/>
      <c r="F263" s="3296" t="str">
        <f>INDEX(PT_DIFFERENTIATION_VTAR,MATCH(A263,PT_DIFFERENTIATION_VTAR_ID,0))</f>
        <v>Тариф на транспортировку сточных вод</v>
      </c>
      <c r="G263" s="3328" t="str">
        <f>INDEX(PT_DIFFERENTIATION_NTAR,MATCH(B263,PT_DIFFERENTIATION_NTAR_ID,0))</f>
        <v/>
      </c>
      <c r="H263" s="1776"/>
      <c r="I263" s="1655"/>
      <c r="J263" s="1689"/>
      <c r="K263" s="1694"/>
      <c r="L263" s="1776" t="s">
        <v>341</v>
      </c>
      <c r="M263" s="276"/>
      <c r="N263" s="269"/>
      <c r="O263" s="1541"/>
      <c r="P263" s="1541"/>
      <c r="AH263" s="1548">
        <v>0</v>
      </c>
    </row>
    <row r="264" spans="1:34" s="2004" customFormat="1" ht="18.75" hidden="1" customHeight="1">
      <c r="A264" s="1696"/>
      <c r="B264" s="1696"/>
      <c r="C264" s="303" t="s">
        <v>1178</v>
      </c>
      <c r="D264" s="3353"/>
      <c r="E264" s="3154"/>
      <c r="F264" s="3296"/>
      <c r="G264" s="3328"/>
      <c r="H264" s="1417"/>
      <c r="I264" s="585" t="s">
        <v>1177</v>
      </c>
      <c r="J264" s="505"/>
      <c r="K264" s="1417"/>
      <c r="L264" s="149"/>
      <c r="M264" s="276"/>
      <c r="N264" s="269"/>
      <c r="O264" s="1541"/>
      <c r="P264" s="1541"/>
      <c r="AH264" s="1548">
        <v>0</v>
      </c>
    </row>
    <row r="265" spans="1:34" s="2004" customFormat="1" ht="0.75" hidden="1" customHeight="1">
      <c r="A265" s="1696"/>
      <c r="B265" s="1696"/>
      <c r="C265" s="303" t="s">
        <v>1187</v>
      </c>
      <c r="D265" s="3353"/>
      <c r="E265" s="3154"/>
      <c r="F265" s="3296"/>
      <c r="G265" s="334"/>
      <c r="H265" s="1417"/>
      <c r="I265" s="585"/>
      <c r="J265" s="505"/>
      <c r="K265" s="1417"/>
      <c r="L265" s="149"/>
      <c r="M265" s="276"/>
      <c r="N265" s="269"/>
      <c r="O265" s="1541"/>
      <c r="P265" s="1541"/>
      <c r="AH265" s="1548">
        <v>0</v>
      </c>
    </row>
    <row r="266" spans="1:34" s="2004" customFormat="1" ht="18.75" hidden="1" customHeight="1">
      <c r="A266" s="1696" t="s">
        <v>310</v>
      </c>
      <c r="B266" s="1696" t="s">
        <v>311</v>
      </c>
      <c r="C266" s="303"/>
      <c r="D266" s="3353"/>
      <c r="E266" s="3154"/>
      <c r="F266" s="3296" t="str">
        <f>INDEX(PT_DIFFERENTIATION_VTAR,MATCH(A266,PT_DIFFERENTIATION_VTAR_ID,0))</f>
        <v>Тариф на подключение (технологическое присоединение) к централизованной системе водоотведения</v>
      </c>
      <c r="G266" s="3328" t="str">
        <f>INDEX(PT_DIFFERENTIATION_NTAR,MATCH(B266,PT_DIFFERENTIATION_NTAR_ID,0))</f>
        <v/>
      </c>
      <c r="H266" s="1776"/>
      <c r="I266" s="1655"/>
      <c r="J266" s="1689"/>
      <c r="K266" s="1694"/>
      <c r="L266" s="1776" t="s">
        <v>341</v>
      </c>
      <c r="M266" s="276"/>
      <c r="N266" s="269"/>
      <c r="O266" s="1541"/>
      <c r="P266" s="1541"/>
      <c r="AH266" s="1548">
        <v>0</v>
      </c>
    </row>
    <row r="267" spans="1:34" s="2004" customFormat="1" ht="18.75" hidden="1" customHeight="1">
      <c r="A267" s="1696"/>
      <c r="B267" s="1696"/>
      <c r="C267" s="303" t="s">
        <v>1178</v>
      </c>
      <c r="D267" s="3353"/>
      <c r="E267" s="3154"/>
      <c r="F267" s="3296"/>
      <c r="G267" s="3328"/>
      <c r="H267" s="1417"/>
      <c r="I267" s="585" t="s">
        <v>1177</v>
      </c>
      <c r="J267" s="505"/>
      <c r="K267" s="1417"/>
      <c r="L267" s="149"/>
      <c r="M267" s="276"/>
      <c r="N267" s="269"/>
      <c r="O267" s="1541"/>
      <c r="P267" s="1541"/>
      <c r="AH267" s="1548">
        <v>0</v>
      </c>
    </row>
    <row r="268" spans="1:34" s="2004" customFormat="1" ht="1" customHeight="1">
      <c r="A268" s="1696"/>
      <c r="B268" s="1696"/>
      <c r="C268" s="303" t="s">
        <v>1187</v>
      </c>
      <c r="D268" s="3353"/>
      <c r="E268" s="3154"/>
      <c r="F268" s="3296"/>
      <c r="G268" s="334"/>
      <c r="H268" s="1417"/>
      <c r="I268" s="585"/>
      <c r="J268" s="505"/>
      <c r="K268" s="1417"/>
      <c r="L268" s="149"/>
      <c r="M268" s="276"/>
      <c r="N268" s="269"/>
      <c r="O268" s="1541"/>
      <c r="P268" s="1541"/>
      <c r="AH268" s="1548">
        <v>1</v>
      </c>
    </row>
    <row r="269" spans="1:34" ht="27.25" customHeight="1">
      <c r="A269" s="1696"/>
      <c r="B269" s="1696"/>
      <c r="D269" s="310"/>
      <c r="E269" s="83" t="s">
        <v>93</v>
      </c>
      <c r="F269" s="3352"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3352"/>
      <c r="H269" s="3352"/>
      <c r="I269" s="3352"/>
      <c r="J269" s="3352"/>
      <c r="K269" s="3352"/>
      <c r="L269" s="3352"/>
      <c r="M269" s="232"/>
      <c r="N269" s="269"/>
      <c r="AH269" s="308">
        <v>26</v>
      </c>
    </row>
    <row r="270" spans="1:34" s="2004" customFormat="1" ht="60.75" hidden="1" customHeight="1">
      <c r="A270" s="1696" t="s">
        <v>168</v>
      </c>
      <c r="B270" s="1696" t="s">
        <v>169</v>
      </c>
      <c r="C270" s="303"/>
      <c r="D270" s="3353"/>
      <c r="E270" s="3154"/>
      <c r="F270" s="3296"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3328" t="str">
        <f>INDEX(PT_DIFFERENTIATION_NTAR,MATCH(B270,PT_DIFFERENTIATION_NTAR_ID,0))</f>
        <v/>
      </c>
      <c r="H270" s="1776"/>
      <c r="I270" s="1655"/>
      <c r="J270" s="1689"/>
      <c r="K270" s="1694"/>
      <c r="L270" s="1776" t="s">
        <v>341</v>
      </c>
      <c r="M270" s="3124"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269"/>
      <c r="O270" s="1541"/>
      <c r="P270" s="1541"/>
      <c r="AH270" s="1548">
        <v>0</v>
      </c>
    </row>
    <row r="271" spans="1:34" s="2004" customFormat="1" ht="18.75" hidden="1" customHeight="1">
      <c r="A271" s="1696"/>
      <c r="B271" s="1696"/>
      <c r="C271" s="303" t="s">
        <v>1178</v>
      </c>
      <c r="D271" s="3353"/>
      <c r="E271" s="3154"/>
      <c r="F271" s="3296"/>
      <c r="G271" s="3328"/>
      <c r="H271" s="1417"/>
      <c r="I271" s="585" t="s">
        <v>1177</v>
      </c>
      <c r="J271" s="505"/>
      <c r="K271" s="1417"/>
      <c r="L271" s="149"/>
      <c r="M271" s="3125"/>
      <c r="N271" s="269"/>
      <c r="O271" s="1541"/>
      <c r="P271" s="1541"/>
      <c r="AH271" s="1548">
        <v>0</v>
      </c>
    </row>
    <row r="272" spans="1:34" s="2004" customFormat="1" ht="0.75" hidden="1" customHeight="1">
      <c r="A272" s="1696"/>
      <c r="B272" s="1696"/>
      <c r="C272" s="303" t="s">
        <v>1187</v>
      </c>
      <c r="D272" s="3353"/>
      <c r="E272" s="3154"/>
      <c r="F272" s="3296"/>
      <c r="G272" s="334"/>
      <c r="H272" s="1417"/>
      <c r="I272" s="585"/>
      <c r="J272" s="505"/>
      <c r="K272" s="1417"/>
      <c r="L272" s="149"/>
      <c r="M272" s="3125"/>
      <c r="N272" s="269"/>
      <c r="O272" s="1541"/>
      <c r="P272" s="1541"/>
      <c r="AH272" s="1548">
        <v>0</v>
      </c>
    </row>
    <row r="273" spans="1:34" s="2004" customFormat="1" ht="45" customHeight="1">
      <c r="A273" s="1696" t="s">
        <v>175</v>
      </c>
      <c r="B273" s="1696" t="s">
        <v>176</v>
      </c>
      <c r="C273" s="303"/>
      <c r="D273" s="3353"/>
      <c r="E273" s="3154"/>
      <c r="F273" s="3296" t="str">
        <f>INDEX(PT_DIFFERENTIATION_VTAR,MATCH(A273,PT_DIFFERENTIATION_VTAR_ID,0))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73" s="3328" t="str">
        <f>INDEX(PT_DIFFERENTIATION_NTAR,MATCH(B273,PT_DIFFERENTIATION_NTAR_ID,0))</f>
        <v/>
      </c>
      <c r="H273" s="1776"/>
      <c r="I273" s="2996">
        <v>45658</v>
      </c>
      <c r="J273" s="1689">
        <v>46022</v>
      </c>
      <c r="K273" s="1694">
        <v>0</v>
      </c>
      <c r="L273" s="1776" t="s">
        <v>341</v>
      </c>
      <c r="M273" s="3126"/>
      <c r="N273" s="269"/>
      <c r="O273" s="1541"/>
      <c r="P273" s="1541"/>
      <c r="AH273" s="1548">
        <v>0</v>
      </c>
    </row>
    <row r="274" spans="1:34" s="2004" customFormat="1" ht="18.75" customHeight="1">
      <c r="A274" s="1696"/>
      <c r="B274" s="1696"/>
      <c r="C274" s="303" t="s">
        <v>1178</v>
      </c>
      <c r="D274" s="3353"/>
      <c r="E274" s="3154"/>
      <c r="F274" s="3296"/>
      <c r="G274" s="3328"/>
      <c r="H274" s="1417"/>
      <c r="I274" s="585" t="s">
        <v>1177</v>
      </c>
      <c r="J274" s="505"/>
      <c r="K274" s="1417"/>
      <c r="L274" s="149"/>
      <c r="M274" s="1775"/>
      <c r="N274" s="269"/>
      <c r="O274" s="1541"/>
      <c r="P274" s="1541"/>
      <c r="AH274" s="1548">
        <v>0</v>
      </c>
    </row>
    <row r="275" spans="1:34" s="2004" customFormat="1" ht="0.75" customHeight="1">
      <c r="A275" s="1696"/>
      <c r="B275" s="1696"/>
      <c r="C275" s="303" t="s">
        <v>1187</v>
      </c>
      <c r="D275" s="3353"/>
      <c r="E275" s="3154"/>
      <c r="F275" s="3296"/>
      <c r="G275" s="334"/>
      <c r="H275" s="1417"/>
      <c r="I275" s="585"/>
      <c r="J275" s="505"/>
      <c r="K275" s="1417"/>
      <c r="L275" s="149"/>
      <c r="M275" s="276"/>
      <c r="N275" s="269"/>
      <c r="O275" s="1541"/>
      <c r="P275" s="1541"/>
      <c r="AH275" s="1548">
        <v>0</v>
      </c>
    </row>
    <row r="276" spans="1:34" s="2004" customFormat="1" ht="45" customHeight="1">
      <c r="A276" s="1696" t="s">
        <v>191</v>
      </c>
      <c r="B276" s="1696" t="s">
        <v>192</v>
      </c>
      <c r="C276" s="303"/>
      <c r="D276" s="3353"/>
      <c r="E276" s="3154"/>
      <c r="F276" s="3296"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3328" t="str">
        <f>INDEX(PT_DIFFERENTIATION_NTAR,MATCH(B276,PT_DIFFERENTIATION_NTAR_ID,0))</f>
        <v/>
      </c>
      <c r="H276" s="1776"/>
      <c r="I276" s="2996">
        <v>45658</v>
      </c>
      <c r="J276" s="1689">
        <v>46022</v>
      </c>
      <c r="K276" s="1694">
        <v>0</v>
      </c>
      <c r="L276" s="1776" t="s">
        <v>341</v>
      </c>
      <c r="M276" s="276"/>
      <c r="N276" s="269"/>
      <c r="O276" s="1541"/>
      <c r="P276" s="1541"/>
      <c r="AH276" s="1548">
        <v>0</v>
      </c>
    </row>
    <row r="277" spans="1:34" s="2004" customFormat="1" ht="18.75" customHeight="1">
      <c r="A277" s="1696"/>
      <c r="B277" s="1696"/>
      <c r="C277" s="303" t="s">
        <v>1178</v>
      </c>
      <c r="D277" s="3353"/>
      <c r="E277" s="3154"/>
      <c r="F277" s="3296"/>
      <c r="G277" s="3328"/>
      <c r="H277" s="1417"/>
      <c r="I277" s="585" t="s">
        <v>1177</v>
      </c>
      <c r="J277" s="505"/>
      <c r="K277" s="1417"/>
      <c r="L277" s="149"/>
      <c r="M277" s="276"/>
      <c r="N277" s="269"/>
      <c r="O277" s="1541"/>
      <c r="P277" s="1541"/>
      <c r="AH277" s="1548">
        <v>0</v>
      </c>
    </row>
    <row r="278" spans="1:34" s="2004" customFormat="1" ht="0.75" customHeight="1">
      <c r="A278" s="1696"/>
      <c r="B278" s="1696"/>
      <c r="C278" s="303" t="s">
        <v>1187</v>
      </c>
      <c r="D278" s="3353"/>
      <c r="E278" s="3154"/>
      <c r="F278" s="3296"/>
      <c r="G278" s="334"/>
      <c r="H278" s="1417"/>
      <c r="I278" s="585"/>
      <c r="J278" s="505"/>
      <c r="K278" s="1417"/>
      <c r="L278" s="149"/>
      <c r="M278" s="276"/>
      <c r="N278" s="269"/>
      <c r="O278" s="1541"/>
      <c r="P278" s="1541"/>
      <c r="AH278" s="1548">
        <v>0</v>
      </c>
    </row>
    <row r="279" spans="1:34" s="2004" customFormat="1" ht="45" customHeight="1">
      <c r="A279" s="1696" t="s">
        <v>203</v>
      </c>
      <c r="B279" s="1696" t="s">
        <v>204</v>
      </c>
      <c r="C279" s="303"/>
      <c r="D279" s="3353"/>
      <c r="E279" s="3154"/>
      <c r="F279" s="3296"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3328" t="str">
        <f>INDEX(PT_DIFFERENTIATION_NTAR,MATCH(B279,PT_DIFFERENTIATION_NTAR_ID,0))</f>
        <v/>
      </c>
      <c r="H279" s="1776"/>
      <c r="I279" s="2996">
        <v>45658</v>
      </c>
      <c r="J279" s="1689">
        <v>46022</v>
      </c>
      <c r="K279" s="1694">
        <v>0</v>
      </c>
      <c r="L279" s="1776" t="s">
        <v>341</v>
      </c>
      <c r="M279" s="276"/>
      <c r="N279" s="269"/>
      <c r="O279" s="1541"/>
      <c r="P279" s="1541"/>
      <c r="AH279" s="1548">
        <v>0</v>
      </c>
    </row>
    <row r="280" spans="1:34" s="2004" customFormat="1" ht="18.75" customHeight="1">
      <c r="A280" s="1696"/>
      <c r="B280" s="1696"/>
      <c r="C280" s="303" t="s">
        <v>1178</v>
      </c>
      <c r="D280" s="3353"/>
      <c r="E280" s="3154"/>
      <c r="F280" s="3296"/>
      <c r="G280" s="3328"/>
      <c r="H280" s="1417"/>
      <c r="I280" s="585" t="s">
        <v>1177</v>
      </c>
      <c r="J280" s="505"/>
      <c r="K280" s="1417"/>
      <c r="L280" s="149"/>
      <c r="M280" s="276"/>
      <c r="N280" s="269"/>
      <c r="O280" s="1541"/>
      <c r="P280" s="1541"/>
      <c r="AH280" s="1548">
        <v>0</v>
      </c>
    </row>
    <row r="281" spans="1:34" s="2004" customFormat="1" ht="0.75" customHeight="1">
      <c r="A281" s="1696"/>
      <c r="B281" s="1696"/>
      <c r="C281" s="303" t="s">
        <v>1187</v>
      </c>
      <c r="D281" s="3353"/>
      <c r="E281" s="3154"/>
      <c r="F281" s="3296"/>
      <c r="G281" s="334"/>
      <c r="H281" s="1417"/>
      <c r="I281" s="585"/>
      <c r="J281" s="505"/>
      <c r="K281" s="1417"/>
      <c r="L281" s="149"/>
      <c r="M281" s="276"/>
      <c r="N281" s="269"/>
      <c r="O281" s="1541"/>
      <c r="P281" s="1541"/>
      <c r="AH281" s="1548">
        <v>0</v>
      </c>
    </row>
    <row r="282" spans="1:34" s="2004" customFormat="1" ht="18.75" customHeight="1">
      <c r="A282" s="1696" t="s">
        <v>216</v>
      </c>
      <c r="B282" s="1696" t="s">
        <v>217</v>
      </c>
      <c r="C282" s="303"/>
      <c r="D282" s="3353"/>
      <c r="E282" s="3154"/>
      <c r="F282" s="3296" t="str">
        <f>INDEX(PT_DIFFERENTIATION_VTAR,MATCH(A282,PT_DIFFERENTIATION_VTAR_ID,0))</f>
        <v>Тарифы на услуги по передаче тепловой энергии</v>
      </c>
      <c r="G282" s="3328" t="str">
        <f>INDEX(PT_DIFFERENTIATION_NTAR,MATCH(B282,PT_DIFFERENTIATION_NTAR_ID,0))</f>
        <v/>
      </c>
      <c r="H282" s="1776"/>
      <c r="I282" s="2996">
        <v>45658</v>
      </c>
      <c r="J282" s="1689">
        <v>46022</v>
      </c>
      <c r="K282" s="1694">
        <v>0</v>
      </c>
      <c r="L282" s="1776" t="s">
        <v>341</v>
      </c>
      <c r="M282" s="276"/>
      <c r="N282" s="269"/>
      <c r="O282" s="1541"/>
      <c r="P282" s="1541"/>
      <c r="AH282" s="1548">
        <v>0</v>
      </c>
    </row>
    <row r="283" spans="1:34" s="2004" customFormat="1" ht="18.75" customHeight="1">
      <c r="A283" s="1696"/>
      <c r="B283" s="1696"/>
      <c r="C283" s="303" t="s">
        <v>1178</v>
      </c>
      <c r="D283" s="3353"/>
      <c r="E283" s="3154"/>
      <c r="F283" s="3296"/>
      <c r="G283" s="3328"/>
      <c r="H283" s="1417"/>
      <c r="I283" s="585" t="s">
        <v>1177</v>
      </c>
      <c r="J283" s="505"/>
      <c r="K283" s="1417"/>
      <c r="L283" s="149"/>
      <c r="M283" s="276"/>
      <c r="N283" s="269"/>
      <c r="O283" s="1541"/>
      <c r="P283" s="1541"/>
      <c r="AH283" s="1548">
        <v>0</v>
      </c>
    </row>
    <row r="284" spans="1:34" s="2004" customFormat="1" ht="0.75" customHeight="1">
      <c r="A284" s="1696"/>
      <c r="B284" s="1696"/>
      <c r="C284" s="303" t="s">
        <v>1187</v>
      </c>
      <c r="D284" s="3353"/>
      <c r="E284" s="3154"/>
      <c r="F284" s="3296"/>
      <c r="G284" s="334"/>
      <c r="H284" s="1417"/>
      <c r="I284" s="585"/>
      <c r="J284" s="505"/>
      <c r="K284" s="1417"/>
      <c r="L284" s="149"/>
      <c r="M284" s="276"/>
      <c r="N284" s="269"/>
      <c r="O284" s="1541"/>
      <c r="P284" s="1541"/>
      <c r="AH284" s="1548">
        <v>0</v>
      </c>
    </row>
    <row r="285" spans="1:34" s="2004" customFormat="1" ht="18.75" hidden="1" customHeight="1">
      <c r="A285" s="1696" t="s">
        <v>222</v>
      </c>
      <c r="B285" s="1696" t="s">
        <v>223</v>
      </c>
      <c r="C285" s="303"/>
      <c r="D285" s="3353"/>
      <c r="E285" s="3154"/>
      <c r="F285" s="3296" t="str">
        <f>INDEX(PT_DIFFERENTIATION_VTAR,MATCH(A285,PT_DIFFERENTIATION_VTAR_ID,0))</f>
        <v>Тарифы на услуги по передаче теплоносителя</v>
      </c>
      <c r="G285" s="3328" t="str">
        <f>INDEX(PT_DIFFERENTIATION_NTAR,MATCH(B285,PT_DIFFERENTIATION_NTAR_ID,0))</f>
        <v/>
      </c>
      <c r="H285" s="1776"/>
      <c r="I285" s="1655"/>
      <c r="J285" s="1689"/>
      <c r="K285" s="1694"/>
      <c r="L285" s="1776" t="s">
        <v>341</v>
      </c>
      <c r="M285" s="276"/>
      <c r="N285" s="269"/>
      <c r="O285" s="1541"/>
      <c r="P285" s="1541"/>
      <c r="AH285" s="1548">
        <v>0</v>
      </c>
    </row>
    <row r="286" spans="1:34" s="2004" customFormat="1" ht="18.75" hidden="1" customHeight="1">
      <c r="A286" s="1696"/>
      <c r="B286" s="1696"/>
      <c r="C286" s="303" t="s">
        <v>1178</v>
      </c>
      <c r="D286" s="3353"/>
      <c r="E286" s="3154"/>
      <c r="F286" s="3296"/>
      <c r="G286" s="3328"/>
      <c r="H286" s="1417"/>
      <c r="I286" s="585" t="s">
        <v>1177</v>
      </c>
      <c r="J286" s="505"/>
      <c r="K286" s="1417"/>
      <c r="L286" s="149"/>
      <c r="M286" s="276"/>
      <c r="N286" s="269"/>
      <c r="O286" s="1541"/>
      <c r="P286" s="1541"/>
      <c r="AH286" s="1548">
        <v>0</v>
      </c>
    </row>
    <row r="287" spans="1:34" s="2004" customFormat="1" ht="0.75" hidden="1" customHeight="1">
      <c r="A287" s="1696"/>
      <c r="B287" s="1696"/>
      <c r="C287" s="303" t="s">
        <v>1187</v>
      </c>
      <c r="D287" s="3353"/>
      <c r="E287" s="3154"/>
      <c r="F287" s="3296"/>
      <c r="G287" s="334"/>
      <c r="H287" s="1417"/>
      <c r="I287" s="585"/>
      <c r="J287" s="505"/>
      <c r="K287" s="1417"/>
      <c r="L287" s="149"/>
      <c r="M287" s="276"/>
      <c r="N287" s="269"/>
      <c r="O287" s="1541"/>
      <c r="P287" s="1541"/>
      <c r="AH287" s="1548">
        <v>0</v>
      </c>
    </row>
    <row r="288" spans="1:34" s="2004" customFormat="1" ht="18.75" hidden="1" customHeight="1">
      <c r="A288" s="1696" t="s">
        <v>228</v>
      </c>
      <c r="B288" s="1696" t="s">
        <v>229</v>
      </c>
      <c r="C288" s="303"/>
      <c r="D288" s="3353"/>
      <c r="E288" s="3154"/>
      <c r="F288" s="3296" t="str">
        <f>INDEX(PT_DIFFERENTIATION_VTAR,MATCH(A288,PT_DIFFERENTIATION_VTAR_ID,0))</f>
        <v>Плата за услуги по поддержанию резервной тепловой мощности при отсутствии потребления тепловой энергии</v>
      </c>
      <c r="G288" s="3328" t="str">
        <f>INDEX(PT_DIFFERENTIATION_NTAR,MATCH(B288,PT_DIFFERENTIATION_NTAR_ID,0))</f>
        <v/>
      </c>
      <c r="H288" s="1776"/>
      <c r="I288" s="1655"/>
      <c r="J288" s="1689"/>
      <c r="K288" s="1694"/>
      <c r="L288" s="1776" t="s">
        <v>341</v>
      </c>
      <c r="M288" s="276"/>
      <c r="N288" s="269"/>
      <c r="O288" s="1541"/>
      <c r="P288" s="1541"/>
      <c r="AH288" s="1548">
        <v>0</v>
      </c>
    </row>
    <row r="289" spans="1:34" s="2004" customFormat="1" ht="18.75" hidden="1" customHeight="1">
      <c r="A289" s="1696"/>
      <c r="B289" s="1696"/>
      <c r="C289" s="303" t="s">
        <v>1178</v>
      </c>
      <c r="D289" s="3353"/>
      <c r="E289" s="3154"/>
      <c r="F289" s="3296"/>
      <c r="G289" s="3328"/>
      <c r="H289" s="1417"/>
      <c r="I289" s="585" t="s">
        <v>1177</v>
      </c>
      <c r="J289" s="505"/>
      <c r="K289" s="1417"/>
      <c r="L289" s="149"/>
      <c r="M289" s="276"/>
      <c r="N289" s="269"/>
      <c r="O289" s="1541"/>
      <c r="P289" s="1541"/>
      <c r="AH289" s="1548">
        <v>0</v>
      </c>
    </row>
    <row r="290" spans="1:34" s="2004" customFormat="1" ht="0.75" hidden="1" customHeight="1">
      <c r="A290" s="1696"/>
      <c r="B290" s="1696"/>
      <c r="C290" s="303" t="s">
        <v>1187</v>
      </c>
      <c r="D290" s="3353"/>
      <c r="E290" s="3154"/>
      <c r="F290" s="3296"/>
      <c r="G290" s="334"/>
      <c r="H290" s="1417"/>
      <c r="I290" s="585"/>
      <c r="J290" s="505"/>
      <c r="K290" s="1417"/>
      <c r="L290" s="149"/>
      <c r="M290" s="276"/>
      <c r="N290" s="269"/>
      <c r="O290" s="1541"/>
      <c r="P290" s="1541"/>
      <c r="AH290" s="1548">
        <v>0</v>
      </c>
    </row>
    <row r="291" spans="1:34" s="2004" customFormat="1" ht="18.75" hidden="1" customHeight="1">
      <c r="A291" s="1696" t="s">
        <v>234</v>
      </c>
      <c r="B291" s="1696" t="s">
        <v>235</v>
      </c>
      <c r="C291" s="303"/>
      <c r="D291" s="3353"/>
      <c r="E291" s="3154"/>
      <c r="F291" s="3296" t="str">
        <f>INDEX(PT_DIFFERENTIATION_VTAR,MATCH(A291,PT_DIFFERENTIATION_VTAR_ID,0))</f>
        <v>Плата за подключение (технологическое присоединение) к системе теплоснабжения</v>
      </c>
      <c r="G291" s="3328" t="str">
        <f>INDEX(PT_DIFFERENTIATION_NTAR,MATCH(B291,PT_DIFFERENTIATION_NTAR_ID,0))</f>
        <v/>
      </c>
      <c r="H291" s="1776"/>
      <c r="I291" s="1655"/>
      <c r="J291" s="1689"/>
      <c r="K291" s="1694"/>
      <c r="L291" s="1776" t="s">
        <v>341</v>
      </c>
      <c r="M291" s="276"/>
      <c r="N291" s="269"/>
      <c r="O291" s="1541"/>
      <c r="P291" s="1541"/>
      <c r="AH291" s="1548">
        <v>0</v>
      </c>
    </row>
    <row r="292" spans="1:34" s="2004" customFormat="1" ht="18.75" hidden="1" customHeight="1">
      <c r="A292" s="1696"/>
      <c r="B292" s="1696"/>
      <c r="C292" s="303" t="s">
        <v>1178</v>
      </c>
      <c r="D292" s="3353"/>
      <c r="E292" s="3154"/>
      <c r="F292" s="3296"/>
      <c r="G292" s="3328"/>
      <c r="H292" s="1417"/>
      <c r="I292" s="585" t="s">
        <v>1177</v>
      </c>
      <c r="J292" s="505"/>
      <c r="K292" s="1417"/>
      <c r="L292" s="149"/>
      <c r="M292" s="276"/>
      <c r="N292" s="269"/>
      <c r="O292" s="1541"/>
      <c r="P292" s="1541"/>
      <c r="AH292" s="1548">
        <v>0</v>
      </c>
    </row>
    <row r="293" spans="1:34" s="2004" customFormat="1" ht="0.75" hidden="1" customHeight="1">
      <c r="A293" s="1696"/>
      <c r="B293" s="1696"/>
      <c r="C293" s="303" t="s">
        <v>1187</v>
      </c>
      <c r="D293" s="3353"/>
      <c r="E293" s="3154"/>
      <c r="F293" s="3296"/>
      <c r="G293" s="334"/>
      <c r="H293" s="1417"/>
      <c r="I293" s="585"/>
      <c r="J293" s="505"/>
      <c r="K293" s="1417"/>
      <c r="L293" s="149"/>
      <c r="M293" s="276"/>
      <c r="N293" s="269"/>
      <c r="O293" s="1541"/>
      <c r="P293" s="1541"/>
      <c r="AH293" s="1548">
        <v>0</v>
      </c>
    </row>
    <row r="294" spans="1:34" s="2004" customFormat="1" ht="18.75" hidden="1" customHeight="1">
      <c r="A294" s="1696" t="s">
        <v>240</v>
      </c>
      <c r="B294" s="1696" t="s">
        <v>241</v>
      </c>
      <c r="C294" s="303"/>
      <c r="D294" s="3353"/>
      <c r="E294" s="3154"/>
      <c r="F294" s="3296" t="str">
        <f>INDEX(PT_DIFFERENTIATION_VTAR,MATCH(A294,PT_DIFFERENTIATION_VTAR_ID,0))</f>
        <v>Плата за подключение (технологическое присоединение) к системе теплоснабжения (индивидуальная)</v>
      </c>
      <c r="G294" s="3328" t="str">
        <f>INDEX(PT_DIFFERENTIATION_NTAR,MATCH(B294,PT_DIFFERENTIATION_NTAR_ID,0))</f>
        <v/>
      </c>
      <c r="H294" s="1900"/>
      <c r="I294" s="1655"/>
      <c r="J294" s="1689"/>
      <c r="K294" s="1694"/>
      <c r="L294" s="1900" t="s">
        <v>341</v>
      </c>
      <c r="M294" s="276"/>
      <c r="N294" s="269"/>
      <c r="O294" s="1541"/>
      <c r="P294" s="1541"/>
      <c r="AH294" s="1548">
        <v>0</v>
      </c>
    </row>
    <row r="295" spans="1:34" s="2004" customFormat="1" ht="18.75" hidden="1" customHeight="1">
      <c r="A295" s="1696"/>
      <c r="B295" s="1696"/>
      <c r="C295" s="303" t="s">
        <v>1178</v>
      </c>
      <c r="D295" s="3353"/>
      <c r="E295" s="3154"/>
      <c r="F295" s="3296"/>
      <c r="G295" s="3328"/>
      <c r="H295" s="1417"/>
      <c r="I295" s="585" t="s">
        <v>1177</v>
      </c>
      <c r="J295" s="505"/>
      <c r="K295" s="1417"/>
      <c r="L295" s="149"/>
      <c r="M295" s="276"/>
      <c r="N295" s="269"/>
      <c r="O295" s="1541"/>
      <c r="P295" s="1541"/>
      <c r="AH295" s="1548">
        <v>0</v>
      </c>
    </row>
    <row r="296" spans="1:34" s="2004" customFormat="1" ht="0.75" hidden="1" customHeight="1">
      <c r="A296" s="1696"/>
      <c r="B296" s="1696"/>
      <c r="C296" s="303" t="s">
        <v>1187</v>
      </c>
      <c r="D296" s="3353"/>
      <c r="E296" s="3154"/>
      <c r="F296" s="3296"/>
      <c r="G296" s="334"/>
      <c r="H296" s="1417"/>
      <c r="I296" s="585"/>
      <c r="J296" s="505"/>
      <c r="K296" s="1417"/>
      <c r="L296" s="149"/>
      <c r="M296" s="276"/>
      <c r="N296" s="269"/>
      <c r="O296" s="1541"/>
      <c r="P296" s="1541"/>
      <c r="AH296" s="1548">
        <v>0</v>
      </c>
    </row>
    <row r="297" spans="1:34" s="2004" customFormat="1" ht="18.75" hidden="1" customHeight="1">
      <c r="A297" s="1696" t="s">
        <v>260</v>
      </c>
      <c r="B297" s="1696" t="s">
        <v>261</v>
      </c>
      <c r="C297" s="303"/>
      <c r="D297" s="3353"/>
      <c r="E297" s="3154"/>
      <c r="F297" s="3296" t="str">
        <f>INDEX(PT_DIFFERENTIATION_VTAR,MATCH(A297,PT_DIFFERENTIATION_VTAR_ID,0))</f>
        <v>Тариф на питьевую воду (питьевое водоснабжение)</v>
      </c>
      <c r="G297" s="3328" t="str">
        <f>INDEX(PT_DIFFERENTIATION_NTAR,MATCH(B297,PT_DIFFERENTIATION_NTAR_ID,0))</f>
        <v/>
      </c>
      <c r="H297" s="1776"/>
      <c r="I297" s="1655"/>
      <c r="J297" s="1689"/>
      <c r="K297" s="1694"/>
      <c r="L297" s="1776" t="s">
        <v>341</v>
      </c>
      <c r="M297" s="276"/>
      <c r="N297" s="269"/>
      <c r="O297" s="1541"/>
      <c r="P297" s="1541"/>
      <c r="AH297" s="1548">
        <v>0</v>
      </c>
    </row>
    <row r="298" spans="1:34" s="2004" customFormat="1" ht="18.75" hidden="1" customHeight="1">
      <c r="A298" s="1696"/>
      <c r="B298" s="1696"/>
      <c r="C298" s="303" t="s">
        <v>1178</v>
      </c>
      <c r="D298" s="3353"/>
      <c r="E298" s="3154"/>
      <c r="F298" s="3296"/>
      <c r="G298" s="3328"/>
      <c r="H298" s="1417"/>
      <c r="I298" s="585" t="s">
        <v>1177</v>
      </c>
      <c r="J298" s="505"/>
      <c r="K298" s="1417"/>
      <c r="L298" s="149"/>
      <c r="M298" s="276"/>
      <c r="N298" s="269"/>
      <c r="O298" s="1541"/>
      <c r="P298" s="1541"/>
      <c r="AH298" s="1548">
        <v>0</v>
      </c>
    </row>
    <row r="299" spans="1:34" s="2004" customFormat="1" ht="0.75" hidden="1" customHeight="1">
      <c r="A299" s="1696"/>
      <c r="B299" s="1696"/>
      <c r="C299" s="303" t="s">
        <v>1187</v>
      </c>
      <c r="D299" s="3353"/>
      <c r="E299" s="3154"/>
      <c r="F299" s="3296"/>
      <c r="G299" s="334"/>
      <c r="H299" s="1417"/>
      <c r="I299" s="585"/>
      <c r="J299" s="505"/>
      <c r="K299" s="1417"/>
      <c r="L299" s="149"/>
      <c r="M299" s="276"/>
      <c r="N299" s="269"/>
      <c r="O299" s="1541"/>
      <c r="P299" s="1541"/>
      <c r="AH299" s="1548">
        <v>0</v>
      </c>
    </row>
    <row r="300" spans="1:34" s="2004" customFormat="1" ht="18.75" hidden="1" customHeight="1">
      <c r="A300" s="1696" t="s">
        <v>265</v>
      </c>
      <c r="B300" s="1696" t="s">
        <v>266</v>
      </c>
      <c r="C300" s="303"/>
      <c r="D300" s="3353"/>
      <c r="E300" s="3154"/>
      <c r="F300" s="3296" t="str">
        <f>INDEX(PT_DIFFERENTIATION_VTAR,MATCH(A300,PT_DIFFERENTIATION_VTAR_ID,0))</f>
        <v>Тариф на техническую воду</v>
      </c>
      <c r="G300" s="3328" t="str">
        <f>INDEX(PT_DIFFERENTIATION_NTAR,MATCH(B300,PT_DIFFERENTIATION_NTAR_ID,0))</f>
        <v/>
      </c>
      <c r="H300" s="1776"/>
      <c r="I300" s="1655"/>
      <c r="J300" s="1689"/>
      <c r="K300" s="1694"/>
      <c r="L300" s="1776" t="s">
        <v>341</v>
      </c>
      <c r="M300" s="276"/>
      <c r="N300" s="269"/>
      <c r="O300" s="1541"/>
      <c r="P300" s="1541"/>
      <c r="AH300" s="1548">
        <v>0</v>
      </c>
    </row>
    <row r="301" spans="1:34" s="2004" customFormat="1" ht="18.75" hidden="1" customHeight="1">
      <c r="A301" s="1696"/>
      <c r="B301" s="1696"/>
      <c r="C301" s="303" t="s">
        <v>1178</v>
      </c>
      <c r="D301" s="3353"/>
      <c r="E301" s="3154"/>
      <c r="F301" s="3296"/>
      <c r="G301" s="3328"/>
      <c r="H301" s="1417"/>
      <c r="I301" s="585" t="s">
        <v>1177</v>
      </c>
      <c r="J301" s="505"/>
      <c r="K301" s="1417"/>
      <c r="L301" s="149"/>
      <c r="M301" s="276"/>
      <c r="N301" s="269"/>
      <c r="O301" s="1541"/>
      <c r="P301" s="1541"/>
      <c r="AH301" s="1548">
        <v>0</v>
      </c>
    </row>
    <row r="302" spans="1:34" s="2004" customFormat="1" ht="0.75" hidden="1" customHeight="1">
      <c r="A302" s="1696"/>
      <c r="B302" s="1696"/>
      <c r="C302" s="303" t="s">
        <v>1187</v>
      </c>
      <c r="D302" s="3353"/>
      <c r="E302" s="3154"/>
      <c r="F302" s="3296"/>
      <c r="G302" s="334"/>
      <c r="H302" s="1417"/>
      <c r="I302" s="585"/>
      <c r="J302" s="505"/>
      <c r="K302" s="1417"/>
      <c r="L302" s="149"/>
      <c r="M302" s="276"/>
      <c r="N302" s="269"/>
      <c r="O302" s="1541"/>
      <c r="P302" s="1541"/>
      <c r="AH302" s="1548">
        <v>0</v>
      </c>
    </row>
    <row r="303" spans="1:34" s="2004" customFormat="1" ht="18.75" hidden="1" customHeight="1">
      <c r="A303" s="1696" t="s">
        <v>270</v>
      </c>
      <c r="B303" s="1696" t="s">
        <v>271</v>
      </c>
      <c r="C303" s="303"/>
      <c r="D303" s="3353"/>
      <c r="E303" s="3154"/>
      <c r="F303" s="3296" t="str">
        <f>INDEX(PT_DIFFERENTIATION_VTAR,MATCH(A303,PT_DIFFERENTIATION_VTAR_ID,0))</f>
        <v>Тариф на транспортировку воды</v>
      </c>
      <c r="G303" s="3328" t="str">
        <f>INDEX(PT_DIFFERENTIATION_NTAR,MATCH(B303,PT_DIFFERENTIATION_NTAR_ID,0))</f>
        <v/>
      </c>
      <c r="H303" s="1776"/>
      <c r="I303" s="1655"/>
      <c r="J303" s="1689"/>
      <c r="K303" s="1694"/>
      <c r="L303" s="1776" t="s">
        <v>341</v>
      </c>
      <c r="M303" s="276"/>
      <c r="N303" s="269"/>
      <c r="O303" s="1541"/>
      <c r="P303" s="1541"/>
      <c r="AH303" s="1548">
        <v>0</v>
      </c>
    </row>
    <row r="304" spans="1:34" s="2004" customFormat="1" ht="18.75" hidden="1" customHeight="1">
      <c r="A304" s="1696"/>
      <c r="B304" s="1696"/>
      <c r="C304" s="303" t="s">
        <v>1178</v>
      </c>
      <c r="D304" s="3353"/>
      <c r="E304" s="3154"/>
      <c r="F304" s="3296"/>
      <c r="G304" s="3328"/>
      <c r="H304" s="1417"/>
      <c r="I304" s="585" t="s">
        <v>1177</v>
      </c>
      <c r="J304" s="505"/>
      <c r="K304" s="1417"/>
      <c r="L304" s="149"/>
      <c r="M304" s="276"/>
      <c r="N304" s="269"/>
      <c r="O304" s="1541"/>
      <c r="P304" s="1541"/>
      <c r="AH304" s="1548">
        <v>0</v>
      </c>
    </row>
    <row r="305" spans="1:34" s="2004" customFormat="1" ht="0.75" hidden="1" customHeight="1">
      <c r="A305" s="1696"/>
      <c r="B305" s="1696"/>
      <c r="C305" s="303" t="s">
        <v>1187</v>
      </c>
      <c r="D305" s="3353"/>
      <c r="E305" s="3154"/>
      <c r="F305" s="3296"/>
      <c r="G305" s="334"/>
      <c r="H305" s="1417"/>
      <c r="I305" s="585"/>
      <c r="J305" s="505"/>
      <c r="K305" s="1417"/>
      <c r="L305" s="149"/>
      <c r="M305" s="276"/>
      <c r="N305" s="269"/>
      <c r="O305" s="1541"/>
      <c r="P305" s="1541"/>
      <c r="AH305" s="1548">
        <v>0</v>
      </c>
    </row>
    <row r="306" spans="1:34" s="2004" customFormat="1" ht="18.75" hidden="1" customHeight="1">
      <c r="A306" s="1696" t="s">
        <v>275</v>
      </c>
      <c r="B306" s="1696" t="s">
        <v>276</v>
      </c>
      <c r="C306" s="303"/>
      <c r="D306" s="3353"/>
      <c r="E306" s="3154"/>
      <c r="F306" s="3296" t="str">
        <f>INDEX(PT_DIFFERENTIATION_VTAR,MATCH(A306,PT_DIFFERENTIATION_VTAR_ID,0))</f>
        <v>Тариф на подвоз воды</v>
      </c>
      <c r="G306" s="3328" t="str">
        <f>INDEX(PT_DIFFERENTIATION_NTAR,MATCH(B306,PT_DIFFERENTIATION_NTAR_ID,0))</f>
        <v/>
      </c>
      <c r="H306" s="1776"/>
      <c r="I306" s="1655"/>
      <c r="J306" s="1689"/>
      <c r="K306" s="1694"/>
      <c r="L306" s="1776" t="s">
        <v>341</v>
      </c>
      <c r="M306" s="276"/>
      <c r="N306" s="269"/>
      <c r="O306" s="1541"/>
      <c r="P306" s="1541"/>
      <c r="AH306" s="1548">
        <v>0</v>
      </c>
    </row>
    <row r="307" spans="1:34" s="2004" customFormat="1" ht="18.75" hidden="1" customHeight="1">
      <c r="A307" s="1696"/>
      <c r="B307" s="1696"/>
      <c r="C307" s="303" t="s">
        <v>1178</v>
      </c>
      <c r="D307" s="3353"/>
      <c r="E307" s="3154"/>
      <c r="F307" s="3296"/>
      <c r="G307" s="3328"/>
      <c r="H307" s="1417"/>
      <c r="I307" s="585" t="s">
        <v>1177</v>
      </c>
      <c r="J307" s="505"/>
      <c r="K307" s="1417"/>
      <c r="L307" s="149"/>
      <c r="M307" s="276"/>
      <c r="N307" s="269"/>
      <c r="O307" s="1541"/>
      <c r="P307" s="1541"/>
      <c r="AH307" s="1548">
        <v>0</v>
      </c>
    </row>
    <row r="308" spans="1:34" s="2004" customFormat="1" ht="0.75" hidden="1" customHeight="1">
      <c r="A308" s="1696"/>
      <c r="B308" s="1696"/>
      <c r="C308" s="303" t="s">
        <v>1187</v>
      </c>
      <c r="D308" s="3353"/>
      <c r="E308" s="3154"/>
      <c r="F308" s="3296"/>
      <c r="G308" s="334"/>
      <c r="H308" s="1417"/>
      <c r="I308" s="585"/>
      <c r="J308" s="505"/>
      <c r="K308" s="1417"/>
      <c r="L308" s="149"/>
      <c r="M308" s="276"/>
      <c r="N308" s="269"/>
      <c r="O308" s="1541"/>
      <c r="P308" s="1541"/>
      <c r="AH308" s="1548">
        <v>0</v>
      </c>
    </row>
    <row r="309" spans="1:34" s="2004" customFormat="1" ht="18.75" hidden="1" customHeight="1">
      <c r="A309" s="1696" t="s">
        <v>280</v>
      </c>
      <c r="B309" s="1696" t="s">
        <v>281</v>
      </c>
      <c r="C309" s="303"/>
      <c r="D309" s="3353"/>
      <c r="E309" s="3154"/>
      <c r="F309" s="3296"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3328" t="str">
        <f>INDEX(PT_DIFFERENTIATION_NTAR,MATCH(B309,PT_DIFFERENTIATION_NTAR_ID,0))</f>
        <v/>
      </c>
      <c r="H309" s="1776"/>
      <c r="I309" s="1655"/>
      <c r="J309" s="1689"/>
      <c r="K309" s="1694"/>
      <c r="L309" s="1776" t="s">
        <v>341</v>
      </c>
      <c r="M309" s="276"/>
      <c r="N309" s="269"/>
      <c r="O309" s="1541"/>
      <c r="P309" s="1541"/>
      <c r="AH309" s="1548">
        <v>0</v>
      </c>
    </row>
    <row r="310" spans="1:34" s="2004" customFormat="1" ht="18.75" hidden="1" customHeight="1">
      <c r="A310" s="1696"/>
      <c r="B310" s="1696"/>
      <c r="C310" s="303" t="s">
        <v>1178</v>
      </c>
      <c r="D310" s="3353"/>
      <c r="E310" s="3154"/>
      <c r="F310" s="3296"/>
      <c r="G310" s="3328"/>
      <c r="H310" s="1417"/>
      <c r="I310" s="585" t="s">
        <v>1177</v>
      </c>
      <c r="J310" s="505"/>
      <c r="K310" s="1417"/>
      <c r="L310" s="149"/>
      <c r="M310" s="276"/>
      <c r="N310" s="269"/>
      <c r="O310" s="1541"/>
      <c r="P310" s="1541"/>
      <c r="AH310" s="1548">
        <v>0</v>
      </c>
    </row>
    <row r="311" spans="1:34" s="2004" customFormat="1" ht="0.75" hidden="1" customHeight="1">
      <c r="A311" s="1696"/>
      <c r="B311" s="1696"/>
      <c r="C311" s="303" t="s">
        <v>1187</v>
      </c>
      <c r="D311" s="3353"/>
      <c r="E311" s="3154"/>
      <c r="F311" s="3296"/>
      <c r="G311" s="334"/>
      <c r="H311" s="1417"/>
      <c r="I311" s="585"/>
      <c r="J311" s="505"/>
      <c r="K311" s="1417"/>
      <c r="L311" s="149"/>
      <c r="M311" s="276"/>
      <c r="N311" s="269"/>
      <c r="O311" s="1541"/>
      <c r="P311" s="1541"/>
      <c r="AH311" s="1548">
        <v>0</v>
      </c>
    </row>
    <row r="312" spans="1:34" s="2004" customFormat="1" ht="18.75" hidden="1" customHeight="1">
      <c r="A312" s="1696" t="s">
        <v>285</v>
      </c>
      <c r="B312" s="1696" t="s">
        <v>286</v>
      </c>
      <c r="C312" s="303"/>
      <c r="D312" s="3353"/>
      <c r="E312" s="3154"/>
      <c r="F312" s="3296" t="str">
        <f>INDEX(PT_DIFFERENTIATION_VTAR,MATCH(A312,PT_DIFFERENTIATION_VTAR_ID,0))</f>
        <v>Тариф на горячую воду (горячее водоснабжение)</v>
      </c>
      <c r="G312" s="3328" t="str">
        <f>INDEX(PT_DIFFERENTIATION_NTAR,MATCH(B312,PT_DIFFERENTIATION_NTAR_ID,0))</f>
        <v/>
      </c>
      <c r="H312" s="1776"/>
      <c r="I312" s="1655"/>
      <c r="J312" s="1689"/>
      <c r="K312" s="1694"/>
      <c r="L312" s="1776" t="s">
        <v>341</v>
      </c>
      <c r="M312" s="276"/>
      <c r="N312" s="269"/>
      <c r="O312" s="1541"/>
      <c r="P312" s="1541"/>
      <c r="AH312" s="1548">
        <v>0</v>
      </c>
    </row>
    <row r="313" spans="1:34" s="2004" customFormat="1" ht="18.75" hidden="1" customHeight="1">
      <c r="A313" s="1696"/>
      <c r="B313" s="1696"/>
      <c r="C313" s="303" t="s">
        <v>1178</v>
      </c>
      <c r="D313" s="3353"/>
      <c r="E313" s="3154"/>
      <c r="F313" s="3296"/>
      <c r="G313" s="3328"/>
      <c r="H313" s="1417"/>
      <c r="I313" s="585" t="s">
        <v>1177</v>
      </c>
      <c r="J313" s="505"/>
      <c r="K313" s="1417"/>
      <c r="L313" s="149"/>
      <c r="M313" s="276"/>
      <c r="N313" s="269"/>
      <c r="O313" s="1541"/>
      <c r="P313" s="1541"/>
      <c r="AH313" s="1548">
        <v>0</v>
      </c>
    </row>
    <row r="314" spans="1:34" s="2004" customFormat="1" ht="0.75" hidden="1" customHeight="1">
      <c r="A314" s="1696"/>
      <c r="B314" s="1696"/>
      <c r="C314" s="303" t="s">
        <v>1187</v>
      </c>
      <c r="D314" s="3353"/>
      <c r="E314" s="3154"/>
      <c r="F314" s="3296"/>
      <c r="G314" s="334"/>
      <c r="H314" s="1417"/>
      <c r="I314" s="585"/>
      <c r="J314" s="505"/>
      <c r="K314" s="1417"/>
      <c r="L314" s="149"/>
      <c r="M314" s="276"/>
      <c r="N314" s="269"/>
      <c r="O314" s="1541"/>
      <c r="P314" s="1541"/>
      <c r="AH314" s="1548">
        <v>0</v>
      </c>
    </row>
    <row r="315" spans="1:34" s="2004" customFormat="1" ht="18.75" hidden="1" customHeight="1">
      <c r="A315" s="1696" t="s">
        <v>290</v>
      </c>
      <c r="B315" s="1696" t="s">
        <v>291</v>
      </c>
      <c r="C315" s="303"/>
      <c r="D315" s="3353"/>
      <c r="E315" s="3154"/>
      <c r="F315" s="3296" t="str">
        <f>INDEX(PT_DIFFERENTIATION_VTAR,MATCH(A315,PT_DIFFERENTIATION_VTAR_ID,0))</f>
        <v>Тариф на транспортировку горячей воды</v>
      </c>
      <c r="G315" s="3328" t="str">
        <f>INDEX(PT_DIFFERENTIATION_NTAR,MATCH(B315,PT_DIFFERENTIATION_NTAR_ID,0))</f>
        <v/>
      </c>
      <c r="H315" s="1776"/>
      <c r="I315" s="1655"/>
      <c r="J315" s="1689"/>
      <c r="K315" s="1694"/>
      <c r="L315" s="1776" t="s">
        <v>341</v>
      </c>
      <c r="M315" s="276"/>
      <c r="N315" s="269"/>
      <c r="O315" s="1541"/>
      <c r="P315" s="1541"/>
      <c r="AH315" s="1548">
        <v>0</v>
      </c>
    </row>
    <row r="316" spans="1:34" s="2004" customFormat="1" ht="18.75" hidden="1" customHeight="1">
      <c r="A316" s="1696"/>
      <c r="B316" s="1696"/>
      <c r="C316" s="303" t="s">
        <v>1178</v>
      </c>
      <c r="D316" s="3353"/>
      <c r="E316" s="3154"/>
      <c r="F316" s="3296"/>
      <c r="G316" s="3328"/>
      <c r="H316" s="1417"/>
      <c r="I316" s="585" t="s">
        <v>1177</v>
      </c>
      <c r="J316" s="505"/>
      <c r="K316" s="1417"/>
      <c r="L316" s="149"/>
      <c r="M316" s="276"/>
      <c r="N316" s="269"/>
      <c r="O316" s="1541"/>
      <c r="P316" s="1541"/>
      <c r="AH316" s="1548">
        <v>0</v>
      </c>
    </row>
    <row r="317" spans="1:34" s="2004" customFormat="1" ht="0.75" hidden="1" customHeight="1">
      <c r="A317" s="1696"/>
      <c r="B317" s="1696"/>
      <c r="C317" s="303" t="s">
        <v>1187</v>
      </c>
      <c r="D317" s="3353"/>
      <c r="E317" s="3154"/>
      <c r="F317" s="3296"/>
      <c r="G317" s="334"/>
      <c r="H317" s="1417"/>
      <c r="I317" s="585"/>
      <c r="J317" s="505"/>
      <c r="K317" s="1417"/>
      <c r="L317" s="149"/>
      <c r="M317" s="276"/>
      <c r="N317" s="269"/>
      <c r="O317" s="1541"/>
      <c r="P317" s="1541"/>
      <c r="AH317" s="1548">
        <v>0</v>
      </c>
    </row>
    <row r="318" spans="1:34" s="2004" customFormat="1" ht="18.75" hidden="1" customHeight="1">
      <c r="A318" s="1696" t="s">
        <v>295</v>
      </c>
      <c r="B318" s="1696" t="s">
        <v>296</v>
      </c>
      <c r="C318" s="303"/>
      <c r="D318" s="3353"/>
      <c r="E318" s="3154"/>
      <c r="F318" s="3296" t="str">
        <f>INDEX(PT_DIFFERENTIATION_VTAR,MATCH(A318,PT_DIFFERENTIATION_VTAR_ID,0))</f>
        <v>Тариф на подключение (технологическое присоединение) к централизованной системе горячего водоснабжения</v>
      </c>
      <c r="G318" s="3328" t="str">
        <f>INDEX(PT_DIFFERENTIATION_NTAR,MATCH(B318,PT_DIFFERENTIATION_NTAR_ID,0))</f>
        <v/>
      </c>
      <c r="H318" s="1776"/>
      <c r="I318" s="1655"/>
      <c r="J318" s="1689"/>
      <c r="K318" s="1694"/>
      <c r="L318" s="1776" t="s">
        <v>341</v>
      </c>
      <c r="M318" s="276"/>
      <c r="N318" s="269"/>
      <c r="O318" s="1541"/>
      <c r="P318" s="1541"/>
      <c r="AH318" s="1548">
        <v>0</v>
      </c>
    </row>
    <row r="319" spans="1:34" s="2004" customFormat="1" ht="18.75" hidden="1" customHeight="1">
      <c r="A319" s="1696"/>
      <c r="B319" s="1696"/>
      <c r="C319" s="303" t="s">
        <v>1178</v>
      </c>
      <c r="D319" s="3353"/>
      <c r="E319" s="3154"/>
      <c r="F319" s="3296"/>
      <c r="G319" s="3328"/>
      <c r="H319" s="1417"/>
      <c r="I319" s="585" t="s">
        <v>1177</v>
      </c>
      <c r="J319" s="505"/>
      <c r="K319" s="1417"/>
      <c r="L319" s="149"/>
      <c r="M319" s="276"/>
      <c r="N319" s="269"/>
      <c r="O319" s="1541"/>
      <c r="P319" s="1541"/>
      <c r="AH319" s="1548">
        <v>0</v>
      </c>
    </row>
    <row r="320" spans="1:34" s="2004" customFormat="1" ht="0.75" hidden="1" customHeight="1">
      <c r="A320" s="1696"/>
      <c r="B320" s="1696"/>
      <c r="C320" s="303" t="s">
        <v>1187</v>
      </c>
      <c r="D320" s="3353"/>
      <c r="E320" s="3154"/>
      <c r="F320" s="3296"/>
      <c r="G320" s="334"/>
      <c r="H320" s="1417"/>
      <c r="I320" s="585"/>
      <c r="J320" s="505"/>
      <c r="K320" s="1417"/>
      <c r="L320" s="149"/>
      <c r="M320" s="276"/>
      <c r="N320" s="269"/>
      <c r="O320" s="1541"/>
      <c r="P320" s="1541"/>
      <c r="AH320" s="1548">
        <v>0</v>
      </c>
    </row>
    <row r="321" spans="1:34" s="2004" customFormat="1" ht="18.75" hidden="1" customHeight="1">
      <c r="A321" s="1696" t="s">
        <v>300</v>
      </c>
      <c r="B321" s="1696" t="s">
        <v>301</v>
      </c>
      <c r="C321" s="303"/>
      <c r="D321" s="3353"/>
      <c r="E321" s="3154"/>
      <c r="F321" s="3296" t="str">
        <f>INDEX(PT_DIFFERENTIATION_VTAR,MATCH(A321,PT_DIFFERENTIATION_VTAR_ID,0))</f>
        <v>Тариф на водоотведение</v>
      </c>
      <c r="G321" s="3328" t="str">
        <f>INDEX(PT_DIFFERENTIATION_NTAR,MATCH(B321,PT_DIFFERENTIATION_NTAR_ID,0))</f>
        <v/>
      </c>
      <c r="H321" s="1776"/>
      <c r="I321" s="1655"/>
      <c r="J321" s="1689"/>
      <c r="K321" s="1694"/>
      <c r="L321" s="1776" t="s">
        <v>341</v>
      </c>
      <c r="M321" s="276"/>
      <c r="N321" s="269"/>
      <c r="O321" s="1541"/>
      <c r="P321" s="1541"/>
      <c r="AH321" s="1548">
        <v>0</v>
      </c>
    </row>
    <row r="322" spans="1:34" s="2004" customFormat="1" ht="18.75" hidden="1" customHeight="1">
      <c r="A322" s="1696"/>
      <c r="B322" s="1696"/>
      <c r="C322" s="303" t="s">
        <v>1178</v>
      </c>
      <c r="D322" s="3353"/>
      <c r="E322" s="3154"/>
      <c r="F322" s="3296"/>
      <c r="G322" s="3328"/>
      <c r="H322" s="1417"/>
      <c r="I322" s="585" t="s">
        <v>1177</v>
      </c>
      <c r="J322" s="505"/>
      <c r="K322" s="1417"/>
      <c r="L322" s="149"/>
      <c r="M322" s="276"/>
      <c r="N322" s="269"/>
      <c r="O322" s="1541"/>
      <c r="P322" s="1541"/>
      <c r="AH322" s="1548">
        <v>0</v>
      </c>
    </row>
    <row r="323" spans="1:34" s="2004" customFormat="1" ht="0.75" hidden="1" customHeight="1">
      <c r="A323" s="1696"/>
      <c r="B323" s="1696"/>
      <c r="C323" s="303" t="s">
        <v>1187</v>
      </c>
      <c r="D323" s="3353"/>
      <c r="E323" s="3154"/>
      <c r="F323" s="3296"/>
      <c r="G323" s="334"/>
      <c r="H323" s="1417"/>
      <c r="I323" s="585"/>
      <c r="J323" s="505"/>
      <c r="K323" s="1417"/>
      <c r="L323" s="149"/>
      <c r="M323" s="276"/>
      <c r="N323" s="269"/>
      <c r="O323" s="1541"/>
      <c r="P323" s="1541"/>
      <c r="AH323" s="1548">
        <v>0</v>
      </c>
    </row>
    <row r="324" spans="1:34" s="2004" customFormat="1" ht="18.75" hidden="1" customHeight="1">
      <c r="A324" s="1696" t="s">
        <v>305</v>
      </c>
      <c r="B324" s="1696" t="s">
        <v>306</v>
      </c>
      <c r="C324" s="303"/>
      <c r="D324" s="3353"/>
      <c r="E324" s="3154"/>
      <c r="F324" s="3296" t="str">
        <f>INDEX(PT_DIFFERENTIATION_VTAR,MATCH(A324,PT_DIFFERENTIATION_VTAR_ID,0))</f>
        <v>Тариф на транспортировку сточных вод</v>
      </c>
      <c r="G324" s="3328" t="str">
        <f>INDEX(PT_DIFFERENTIATION_NTAR,MATCH(B324,PT_DIFFERENTIATION_NTAR_ID,0))</f>
        <v/>
      </c>
      <c r="H324" s="1776"/>
      <c r="I324" s="1655"/>
      <c r="J324" s="1689"/>
      <c r="K324" s="1694"/>
      <c r="L324" s="1776" t="s">
        <v>341</v>
      </c>
      <c r="M324" s="276"/>
      <c r="N324" s="269"/>
      <c r="O324" s="1541"/>
      <c r="P324" s="1541"/>
      <c r="AH324" s="1548">
        <v>0</v>
      </c>
    </row>
    <row r="325" spans="1:34" s="2004" customFormat="1" ht="18.75" hidden="1" customHeight="1">
      <c r="A325" s="1696"/>
      <c r="B325" s="1696"/>
      <c r="C325" s="303" t="s">
        <v>1178</v>
      </c>
      <c r="D325" s="3353"/>
      <c r="E325" s="3154"/>
      <c r="F325" s="3296"/>
      <c r="G325" s="3328"/>
      <c r="H325" s="1417"/>
      <c r="I325" s="585" t="s">
        <v>1177</v>
      </c>
      <c r="J325" s="505"/>
      <c r="K325" s="1417"/>
      <c r="L325" s="149"/>
      <c r="M325" s="276"/>
      <c r="N325" s="269"/>
      <c r="O325" s="1541"/>
      <c r="P325" s="1541"/>
      <c r="AH325" s="1548">
        <v>0</v>
      </c>
    </row>
    <row r="326" spans="1:34" s="2004" customFormat="1" ht="0.75" hidden="1" customHeight="1">
      <c r="A326" s="1696"/>
      <c r="B326" s="1696"/>
      <c r="C326" s="303" t="s">
        <v>1187</v>
      </c>
      <c r="D326" s="3353"/>
      <c r="E326" s="3154"/>
      <c r="F326" s="3296"/>
      <c r="G326" s="334"/>
      <c r="H326" s="1417"/>
      <c r="I326" s="585"/>
      <c r="J326" s="505"/>
      <c r="K326" s="1417"/>
      <c r="L326" s="149"/>
      <c r="M326" s="276"/>
      <c r="N326" s="269"/>
      <c r="O326" s="1541"/>
      <c r="P326" s="1541"/>
      <c r="AH326" s="1548">
        <v>0</v>
      </c>
    </row>
    <row r="327" spans="1:34" s="2004" customFormat="1" ht="18.75" hidden="1" customHeight="1">
      <c r="A327" s="1696" t="s">
        <v>310</v>
      </c>
      <c r="B327" s="1696" t="s">
        <v>311</v>
      </c>
      <c r="C327" s="303"/>
      <c r="D327" s="3353"/>
      <c r="E327" s="3154"/>
      <c r="F327" s="3296" t="str">
        <f>INDEX(PT_DIFFERENTIATION_VTAR,MATCH(A327,PT_DIFFERENTIATION_VTAR_ID,0))</f>
        <v>Тариф на подключение (технологическое присоединение) к централизованной системе водоотведения</v>
      </c>
      <c r="G327" s="3328" t="str">
        <f>INDEX(PT_DIFFERENTIATION_NTAR,MATCH(B327,PT_DIFFERENTIATION_NTAR_ID,0))</f>
        <v/>
      </c>
      <c r="H327" s="1776"/>
      <c r="I327" s="1655"/>
      <c r="J327" s="1689"/>
      <c r="K327" s="1694"/>
      <c r="L327" s="1776" t="s">
        <v>341</v>
      </c>
      <c r="M327" s="276"/>
      <c r="N327" s="269"/>
      <c r="O327" s="1541"/>
      <c r="P327" s="1541"/>
      <c r="AH327" s="1548">
        <v>0</v>
      </c>
    </row>
    <row r="328" spans="1:34" s="2004" customFormat="1" ht="18.75" hidden="1" customHeight="1">
      <c r="A328" s="1696"/>
      <c r="B328" s="1696"/>
      <c r="C328" s="303" t="s">
        <v>1178</v>
      </c>
      <c r="D328" s="3353"/>
      <c r="E328" s="3154"/>
      <c r="F328" s="3296"/>
      <c r="G328" s="3328"/>
      <c r="H328" s="1417"/>
      <c r="I328" s="585" t="s">
        <v>1177</v>
      </c>
      <c r="J328" s="505"/>
      <c r="K328" s="1417"/>
      <c r="L328" s="149"/>
      <c r="M328" s="276"/>
      <c r="N328" s="269"/>
      <c r="O328" s="1541"/>
      <c r="P328" s="1541"/>
      <c r="AH328" s="1548">
        <v>0</v>
      </c>
    </row>
    <row r="329" spans="1:34" s="2004" customFormat="1" ht="1" customHeight="1">
      <c r="A329" s="1696"/>
      <c r="B329" s="1696"/>
      <c r="C329" s="303" t="s">
        <v>1187</v>
      </c>
      <c r="D329" s="3353"/>
      <c r="E329" s="3154"/>
      <c r="F329" s="3296"/>
      <c r="G329" s="334"/>
      <c r="H329" s="1417"/>
      <c r="I329" s="585"/>
      <c r="J329" s="505"/>
      <c r="K329" s="1417"/>
      <c r="L329" s="149"/>
      <c r="M329" s="276"/>
      <c r="N329" s="269"/>
      <c r="O329" s="1541"/>
      <c r="P329" s="1541"/>
      <c r="AH329" s="1548">
        <v>1</v>
      </c>
    </row>
    <row r="330" spans="1:34" s="2994" customFormat="1" ht="3" customHeight="1">
      <c r="A330" s="1696"/>
      <c r="B330" s="1696"/>
      <c r="C330" s="1697"/>
      <c r="E330" s="336"/>
      <c r="F330" s="336"/>
      <c r="G330" s="336"/>
      <c r="H330" s="336"/>
      <c r="I330" s="336"/>
      <c r="J330" s="336"/>
      <c r="K330" s="336"/>
      <c r="L330" s="336"/>
      <c r="M330" s="336"/>
      <c r="O330" s="131"/>
      <c r="P330" s="131"/>
      <c r="AH330" s="77">
        <v>3</v>
      </c>
    </row>
    <row r="331" spans="1:34" ht="26.25" customHeight="1">
      <c r="E331" s="137"/>
      <c r="F331" s="3219"/>
      <c r="G331" s="3219"/>
      <c r="H331" s="3219"/>
      <c r="I331" s="3219"/>
      <c r="J331" s="3219"/>
      <c r="K331" s="3219"/>
      <c r="L331" s="3219"/>
      <c r="M331" s="3219"/>
      <c r="AH331" s="308">
        <v>25</v>
      </c>
    </row>
    <row r="332" spans="1:34" ht="14.25" hidden="1" customHeight="1">
      <c r="A332" s="1695" t="s">
        <v>83</v>
      </c>
      <c r="B332" s="1695">
        <v>0</v>
      </c>
      <c r="C332" s="303">
        <v>0</v>
      </c>
      <c r="D332" s="279">
        <v>3</v>
      </c>
      <c r="E332" s="308">
        <v>6</v>
      </c>
      <c r="F332" s="308">
        <v>46</v>
      </c>
      <c r="G332" s="308">
        <v>35</v>
      </c>
      <c r="H332" s="308">
        <v>3</v>
      </c>
      <c r="I332" s="308">
        <v>11</v>
      </c>
      <c r="J332" s="308">
        <v>11</v>
      </c>
      <c r="K332" s="308">
        <v>35</v>
      </c>
      <c r="L332" s="308">
        <v>35</v>
      </c>
      <c r="M332" s="308">
        <v>84</v>
      </c>
      <c r="N332" s="308">
        <v>10</v>
      </c>
      <c r="O332" s="284">
        <v>10</v>
      </c>
      <c r="P332" s="284">
        <v>10</v>
      </c>
      <c r="Q332" s="308">
        <v>10</v>
      </c>
      <c r="R332" s="308">
        <v>10</v>
      </c>
      <c r="S332" s="308">
        <v>10</v>
      </c>
      <c r="T332" s="308">
        <v>10</v>
      </c>
      <c r="U332" s="308">
        <v>10</v>
      </c>
      <c r="V332" s="308">
        <v>10</v>
      </c>
      <c r="W332" s="308">
        <v>10</v>
      </c>
      <c r="X332" s="308">
        <v>10</v>
      </c>
      <c r="Y332" s="308">
        <v>10</v>
      </c>
      <c r="Z332" s="308">
        <v>10</v>
      </c>
      <c r="AA332" s="308">
        <v>10</v>
      </c>
      <c r="AB332" s="308">
        <v>10</v>
      </c>
      <c r="AC332" s="308">
        <v>10</v>
      </c>
      <c r="AD332" s="308">
        <v>10</v>
      </c>
      <c r="AE332" s="308">
        <v>10</v>
      </c>
      <c r="AF332" s="308">
        <v>10</v>
      </c>
      <c r="AG332" s="308">
        <v>10</v>
      </c>
      <c r="AH332" s="308">
        <v>14</v>
      </c>
    </row>
  </sheetData>
  <sheetProtection formatColumns="0" formatRows="0" insertRows="0" deleteColumns="0" deleteRows="0" sort="0" autoFilter="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xr:uid="{00000000-0002-0000-2F00-00000000000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xr:uid="{00000000-0002-0000-2F00-000001000000}">
      <formula1>900</formula1>
    </dataValidation>
    <dataValidation type="textLength" operator="lessThanOrEqual" allowBlank="1" showInputMessage="1" showErrorMessage="1" errorTitle="Ошибка" error="Допускается ввод не более 900 символов!" sqref="M148:M149 M209:M210 M23 M87:M88 M270:M271" xr:uid="{00000000-0002-0000-2F00-000002000000}">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xr:uid="{00000000-0002-0000-2F00-000003000000}">
      <formula1>-9.99999999999999E+23</formula1>
      <formula2>9.99999999999999E+23</formula2>
    </dataValidation>
  </dataValidations>
  <hyperlinks>
    <hyperlink ref="L85" r:id="rId1" xr:uid="{69A98FF2-0397-9AF6-CC64-A0665F7EA702}"/>
  </hyperlinks>
  <pageMargins left="0.7" right="0.7" top="0.75" bottom="0.75" header="0.3" footer="0.3"/>
  <pageSetup paperSize="9" orientation="portrait"/>
  <headerFooter>
    <oddHeader>&amp;L&amp;C&amp;R</oddHeader>
    <oddFooter>&amp;L&amp;C&amp;R</oddFooter>
    <evenHeader>&amp;L&amp;C&amp;R</evenHeader>
    <evenFooter>&amp;L&amp;C&amp;R</evenFooter>
  </headerFooter>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FE5048-E9F1-6325-4E06-B7FCA5247207}">
  <sheetPr>
    <tabColor theme="6" tint="0.39997558519241921"/>
  </sheetPr>
  <dimension ref="A1:R17"/>
  <sheetViews>
    <sheetView showGridLines="0" topLeftCell="C4" zoomScale="90" workbookViewId="0">
      <selection activeCell="F12" sqref="F12"/>
    </sheetView>
  </sheetViews>
  <sheetFormatPr defaultColWidth="10.59765625" defaultRowHeight="14.25" customHeight="1"/>
  <cols>
    <col min="1" max="1" width="9.09765625" style="2217" hidden="1" customWidth="1"/>
    <col min="2" max="2" width="9.09765625" style="2016" hidden="1" customWidth="1"/>
    <col min="3" max="3" width="3" style="2215" customWidth="1"/>
    <col min="4" max="4" width="6" style="2004" customWidth="1"/>
    <col min="5" max="5" width="53" style="2004" customWidth="1"/>
    <col min="6" max="7" width="35" style="2004" customWidth="1"/>
    <col min="8" max="8" width="89" style="2004" customWidth="1"/>
    <col min="9" max="9" width="10" style="2004" customWidth="1"/>
    <col min="10" max="11" width="10" style="2022" customWidth="1"/>
    <col min="12" max="17" width="10" style="2004" customWidth="1"/>
    <col min="18" max="18" width="10.59765625" style="2004" hidden="1"/>
  </cols>
  <sheetData>
    <row r="1" spans="1:18" ht="22.5" hidden="1" customHeight="1">
      <c r="N1" s="190"/>
      <c r="O1" s="190"/>
      <c r="Q1" s="190"/>
      <c r="R1" s="308" t="s">
        <v>14</v>
      </c>
    </row>
    <row r="2" spans="1:18" s="2004" customFormat="1" ht="18.75" hidden="1" customHeight="1">
      <c r="A2" s="40"/>
      <c r="B2" s="1077"/>
      <c r="C2" s="1646" t="s">
        <v>105</v>
      </c>
      <c r="D2" s="1590"/>
      <c r="E2" s="1599"/>
      <c r="F2" s="192"/>
      <c r="G2" s="1078"/>
      <c r="H2" s="308"/>
      <c r="I2" s="1541"/>
      <c r="J2" s="1541"/>
      <c r="R2" s="1548">
        <v>0</v>
      </c>
    </row>
    <row r="3" spans="1:18" ht="14.25" hidden="1" customHeight="1">
      <c r="R3" s="308">
        <v>0</v>
      </c>
    </row>
    <row r="4" spans="1:18" ht="6.25" customHeight="1">
      <c r="C4" s="310"/>
      <c r="D4" s="297"/>
      <c r="E4" s="297"/>
      <c r="F4" s="297"/>
      <c r="G4" s="23"/>
      <c r="H4" s="23"/>
      <c r="R4" s="308">
        <v>6</v>
      </c>
    </row>
    <row r="5" spans="1:18" ht="34.5" customHeight="1">
      <c r="C5" s="310"/>
      <c r="D5" s="3111"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3112"/>
      <c r="F5" s="3112"/>
      <c r="G5" s="3113"/>
      <c r="H5" s="201"/>
      <c r="R5" s="308">
        <v>33</v>
      </c>
    </row>
    <row r="6" spans="1:18" s="2004" customFormat="1" ht="18" customHeight="1">
      <c r="A6" s="1586"/>
      <c r="B6" s="1077"/>
      <c r="C6" s="310"/>
      <c r="D6" s="3164" t="str">
        <f>IF(org=0,"Не определено",org)</f>
        <v>ООО "РСО"</v>
      </c>
      <c r="E6" s="3165"/>
      <c r="F6" s="3165"/>
      <c r="G6" s="3166"/>
      <c r="H6" s="201"/>
      <c r="J6" s="1541"/>
      <c r="K6" s="1541"/>
      <c r="R6" s="1548">
        <v>17</v>
      </c>
    </row>
    <row r="7" spans="1:18" ht="14.65" customHeight="1">
      <c r="C7" s="310"/>
      <c r="D7" s="297"/>
      <c r="E7" s="323"/>
      <c r="F7" s="323"/>
      <c r="G7" s="686"/>
      <c r="H7" s="128"/>
      <c r="R7" s="308">
        <v>14</v>
      </c>
    </row>
    <row r="8" spans="1:18" ht="14.65" customHeight="1">
      <c r="C8" s="310"/>
      <c r="D8" s="3159" t="s">
        <v>335</v>
      </c>
      <c r="E8" s="3159"/>
      <c r="F8" s="3159"/>
      <c r="G8" s="3159"/>
      <c r="H8" s="3301" t="s">
        <v>336</v>
      </c>
      <c r="R8" s="308">
        <v>14</v>
      </c>
    </row>
    <row r="9" spans="1:18" ht="24" customHeight="1">
      <c r="C9" s="310"/>
      <c r="D9" s="320" t="s">
        <v>89</v>
      </c>
      <c r="E9" s="46" t="s">
        <v>337</v>
      </c>
      <c r="F9" s="46" t="s">
        <v>338</v>
      </c>
      <c r="G9" s="46" t="s">
        <v>425</v>
      </c>
      <c r="H9" s="3301"/>
      <c r="R9" s="308">
        <v>23</v>
      </c>
    </row>
    <row r="10" spans="1:18" ht="108.5" customHeight="1">
      <c r="A10" s="278"/>
      <c r="C10" s="310"/>
      <c r="D10" s="83" t="s">
        <v>124</v>
      </c>
      <c r="E10" s="1800"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192" t="s">
        <v>2974</v>
      </c>
      <c r="G10" s="148" t="s">
        <v>1188</v>
      </c>
      <c r="H10" s="3124" t="s">
        <v>1189</v>
      </c>
      <c r="R10" s="308">
        <v>14</v>
      </c>
    </row>
    <row r="11" spans="1:18" ht="108.5" customHeight="1">
      <c r="A11" s="278"/>
      <c r="C11" s="310"/>
      <c r="D11" s="83" t="s">
        <v>104</v>
      </c>
      <c r="E11" s="1800"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3008" t="s">
        <v>2974</v>
      </c>
      <c r="G11" s="148" t="s">
        <v>1188</v>
      </c>
      <c r="H11" s="3125"/>
      <c r="R11" s="308">
        <v>14</v>
      </c>
    </row>
    <row r="12" spans="1:18" ht="108.5" customHeight="1">
      <c r="A12" s="40"/>
      <c r="C12" s="321"/>
      <c r="D12" s="83" t="s">
        <v>91</v>
      </c>
      <c r="E12" s="322" t="str">
        <f>"Сведения о планировании закупочных процедур"&amp;IF(TEMPLATE_SPHERE="TKO"," &lt;1&gt;","")</f>
        <v>Сведения о планировании закупочных процедур</v>
      </c>
      <c r="F12" s="192" t="s">
        <v>1190</v>
      </c>
      <c r="G12" s="148" t="s">
        <v>1191</v>
      </c>
      <c r="H12" s="3125"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284"/>
      <c r="K12" s="308"/>
      <c r="R12" s="308">
        <v>14</v>
      </c>
    </row>
    <row r="13" spans="1:18" ht="108.5" customHeight="1">
      <c r="A13" s="40"/>
      <c r="C13" s="321"/>
      <c r="D13" s="83" t="s">
        <v>92</v>
      </c>
      <c r="E13" s="322" t="str">
        <f>"Сведения о результатах проведения закупочных процедур"&amp;IF(TEMPLATE_SPHERE="TKO"," &lt;1&gt;","")</f>
        <v>Сведения о результатах проведения закупочных процедур</v>
      </c>
      <c r="F13" s="192" t="s">
        <v>1190</v>
      </c>
      <c r="G13" s="148" t="s">
        <v>1191</v>
      </c>
      <c r="H13" s="3125"/>
      <c r="I13" s="284"/>
      <c r="K13" s="308"/>
      <c r="R13" s="308">
        <v>14</v>
      </c>
    </row>
    <row r="14" spans="1:18" ht="108.5" customHeight="1">
      <c r="A14" s="278"/>
      <c r="C14" s="310"/>
      <c r="D14" s="282"/>
      <c r="E14" s="329" t="s">
        <v>357</v>
      </c>
      <c r="F14" s="283"/>
      <c r="G14" s="136"/>
      <c r="H14" s="3126"/>
      <c r="R14" s="308">
        <v>14</v>
      </c>
    </row>
    <row r="15" spans="1:18" s="2004" customFormat="1" ht="14.65" customHeight="1">
      <c r="A15" s="278"/>
      <c r="B15" s="1077"/>
      <c r="C15" s="310"/>
      <c r="D15" s="330"/>
      <c r="E15" s="1594"/>
      <c r="F15" s="1595"/>
      <c r="G15" s="1596"/>
      <c r="H15" s="1597"/>
      <c r="J15" s="1541"/>
      <c r="K15" s="1541"/>
      <c r="R15" s="1548">
        <v>14</v>
      </c>
    </row>
    <row r="16" spans="1:18" ht="14.65" customHeight="1">
      <c r="D16" s="1598"/>
      <c r="E16" s="3219"/>
      <c r="F16" s="3219"/>
      <c r="G16" s="3219"/>
      <c r="H16" s="3219"/>
      <c r="R16" s="308">
        <v>14</v>
      </c>
    </row>
    <row r="17" spans="1:18" ht="22.5" hidden="1" customHeight="1">
      <c r="A17" s="298" t="s">
        <v>83</v>
      </c>
      <c r="B17" s="82">
        <v>0</v>
      </c>
      <c r="C17" s="279">
        <v>3</v>
      </c>
      <c r="D17" s="308">
        <v>6</v>
      </c>
      <c r="E17" s="308">
        <v>53</v>
      </c>
      <c r="F17" s="308">
        <v>35</v>
      </c>
      <c r="G17" s="308">
        <v>35</v>
      </c>
      <c r="H17" s="308">
        <v>89</v>
      </c>
      <c r="I17" s="308">
        <v>10</v>
      </c>
      <c r="J17" s="284">
        <v>10</v>
      </c>
      <c r="K17" s="284">
        <v>10</v>
      </c>
      <c r="L17" s="308">
        <v>10</v>
      </c>
      <c r="M17" s="308">
        <v>10</v>
      </c>
      <c r="N17" s="308">
        <v>10</v>
      </c>
      <c r="O17" s="308">
        <v>10</v>
      </c>
      <c r="P17" s="308">
        <v>10</v>
      </c>
      <c r="Q17" s="308">
        <v>10</v>
      </c>
      <c r="R17" s="308">
        <v>23</v>
      </c>
    </row>
  </sheetData>
  <sheetProtection formatColumns="0" formatRows="0" insertRows="0" deleteColumns="0" deleteRows="0" sort="0" autoFilter="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xr:uid="{00000000-0002-0000-3000-000000000000}">
      <formula1>900</formula1>
    </dataValidation>
    <dataValidation type="textLength" operator="lessThanOrEqual" allowBlank="1" showInputMessage="1" showErrorMessage="1" errorTitle="Ошибка" error="Допускается ввод не более 900 символов!" sqref="H10 E13 E2:F2 F10:F13" xr:uid="{00000000-0002-0000-3000-000001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BED8A9-1287-54B7-39B7-B5DB6D53E5A8}">
  <sheetPr>
    <tabColor theme="2" tint="-9.9978637043366805E-2"/>
  </sheetPr>
  <dimension ref="A1:V30"/>
  <sheetViews>
    <sheetView showGridLines="0" topLeftCell="C4" zoomScale="90" workbookViewId="0"/>
  </sheetViews>
  <sheetFormatPr defaultColWidth="10.59765625" defaultRowHeight="15" customHeight="1"/>
  <cols>
    <col min="1" max="1" width="9.09765625" style="2002" hidden="1" customWidth="1"/>
    <col min="2" max="2" width="9.09765625" style="2004" hidden="1" customWidth="1"/>
    <col min="3" max="3" width="4" style="2987" customWidth="1"/>
    <col min="4" max="4" width="6" style="2004" customWidth="1"/>
    <col min="5" max="5" width="47" style="2004" customWidth="1"/>
    <col min="6" max="6" width="9" style="2004" customWidth="1"/>
    <col min="7" max="7" width="25.69921875" style="2004" hidden="1" customWidth="1"/>
    <col min="8" max="8" width="34" style="2004" hidden="1" customWidth="1"/>
    <col min="9" max="9" width="25.69921875" style="2004" customWidth="1"/>
    <col min="10" max="10" width="33" style="2004" customWidth="1"/>
    <col min="11" max="11" width="50" style="2016" customWidth="1"/>
    <col min="12" max="20" width="10" style="2004" customWidth="1"/>
    <col min="21" max="21" width="10" style="2985" customWidth="1"/>
    <col min="22" max="22" width="10.59765625" style="2004" hidden="1"/>
  </cols>
  <sheetData>
    <row r="1" spans="1:22" s="2016" customFormat="1" ht="22.5" hidden="1" customHeight="1">
      <c r="C1" s="606"/>
      <c r="G1" s="351">
        <v>4</v>
      </c>
      <c r="I1" s="351">
        <v>4</v>
      </c>
      <c r="U1" s="354"/>
      <c r="V1" s="351" t="s">
        <v>14</v>
      </c>
    </row>
    <row r="2" spans="1:22" s="2004" customFormat="1" ht="15" hidden="1" customHeight="1">
      <c r="A2" s="296"/>
      <c r="C2" s="111"/>
      <c r="D2" s="281"/>
      <c r="E2" s="607"/>
      <c r="F2" s="456"/>
      <c r="G2" s="550"/>
      <c r="H2" s="550"/>
      <c r="I2" s="550"/>
      <c r="J2" s="550"/>
      <c r="U2" s="608"/>
      <c r="V2" s="443">
        <v>0</v>
      </c>
    </row>
    <row r="3" spans="1:22" s="2016" customFormat="1" ht="15" hidden="1" customHeight="1">
      <c r="C3" s="606"/>
      <c r="U3" s="354"/>
      <c r="V3" s="351">
        <v>0</v>
      </c>
    </row>
    <row r="4" spans="1:22" ht="15.75" customHeight="1">
      <c r="C4" s="111"/>
      <c r="D4" s="443"/>
      <c r="E4" s="443"/>
      <c r="F4" s="443"/>
      <c r="G4" s="443"/>
      <c r="H4" s="443"/>
      <c r="I4" s="443"/>
      <c r="J4" s="443"/>
      <c r="V4" s="439">
        <v>15</v>
      </c>
    </row>
    <row r="5" spans="1:22" ht="66" customHeight="1">
      <c r="C5" s="111"/>
      <c r="D5" s="3183" t="s">
        <v>1192</v>
      </c>
      <c r="E5" s="3183"/>
      <c r="F5" s="3183"/>
      <c r="G5" s="3183"/>
      <c r="H5" s="3183"/>
      <c r="I5" s="3183"/>
      <c r="J5" s="3183"/>
      <c r="V5" s="439">
        <v>63</v>
      </c>
    </row>
    <row r="6" spans="1:22" ht="15.75" customHeight="1">
      <c r="C6" s="111"/>
      <c r="D6" s="3131" t="str">
        <f>IF(org=0,"Не определено",org)</f>
        <v>ООО "РСО"</v>
      </c>
      <c r="E6" s="3131"/>
      <c r="F6" s="3131"/>
      <c r="G6" s="3131"/>
      <c r="H6" s="3131"/>
      <c r="I6" s="3131"/>
      <c r="J6" s="3131"/>
      <c r="K6" s="471"/>
      <c r="V6" s="439">
        <v>15</v>
      </c>
    </row>
    <row r="7" spans="1:22" ht="15.75" customHeight="1">
      <c r="C7" s="111"/>
      <c r="D7" s="686"/>
      <c r="E7" s="443"/>
      <c r="F7" s="443"/>
      <c r="G7" s="471">
        <v>22</v>
      </c>
      <c r="I7" s="471">
        <v>1</v>
      </c>
      <c r="J7" s="686"/>
      <c r="V7" s="439">
        <v>15</v>
      </c>
    </row>
    <row r="8" spans="1:22" s="2004" customFormat="1" ht="1" customHeight="1">
      <c r="A8" s="691"/>
      <c r="C8" s="111"/>
      <c r="D8" s="443"/>
      <c r="E8" s="443"/>
      <c r="F8" s="443"/>
      <c r="G8" s="471"/>
      <c r="H8" s="686"/>
      <c r="I8" s="471" t="s">
        <v>131</v>
      </c>
      <c r="J8" s="686"/>
      <c r="K8" s="351"/>
      <c r="U8" s="609"/>
      <c r="V8" s="690">
        <v>1</v>
      </c>
    </row>
    <row r="9" spans="1:22" ht="15.75" customHeight="1">
      <c r="C9" s="111"/>
      <c r="D9" s="645"/>
      <c r="E9" s="3282" t="s">
        <v>120</v>
      </c>
      <c r="F9" s="3283"/>
      <c r="G9" s="3307" t="str">
        <f>IF(G8="","",INDEX(DIFFERENTIATION_UNMERGE_VD,MATCH(G8,DIFFERENTIATION_ID_DIFF,0)))</f>
        <v/>
      </c>
      <c r="H9" s="3308"/>
      <c r="I9" s="3307">
        <f>IF(I8="","",INDEX(DIFFERENTIATION_UNMERGE_VD,MATCH(I8,DIFFERENTIATION_ID_DIFF,0)))</f>
        <v>0</v>
      </c>
      <c r="J9" s="3308"/>
      <c r="K9" s="3130" t="s">
        <v>336</v>
      </c>
      <c r="V9" s="439">
        <v>15</v>
      </c>
    </row>
    <row r="10" spans="1:22" s="2004" customFormat="1" ht="15.75" customHeight="1">
      <c r="A10" s="691"/>
      <c r="C10" s="111"/>
      <c r="D10" s="645"/>
      <c r="E10" s="3282" t="s">
        <v>597</v>
      </c>
      <c r="F10" s="3283"/>
      <c r="G10" s="3307" t="str">
        <f>IF(G8="","",INDEX(DIFFERENTIATION_UNMERGE_AREA,MATCH(G8,DIFFERENTIATION_ID_DIFF,0)))</f>
        <v/>
      </c>
      <c r="H10" s="3308"/>
      <c r="I10" s="3307" t="str">
        <f>IF(I8="","",INDEX(DIFFERENTIATION_UNMERGE_AREA,MATCH(I8,DIFFERENTIATION_ID_DIFF,0)))</f>
        <v/>
      </c>
      <c r="J10" s="3308"/>
      <c r="K10" s="3149"/>
      <c r="U10" s="609"/>
      <c r="V10" s="690">
        <v>15</v>
      </c>
    </row>
    <row r="11" spans="1:22" s="2004" customFormat="1" ht="15.75" customHeight="1">
      <c r="A11" s="691"/>
      <c r="C11" s="111"/>
      <c r="D11" s="645"/>
      <c r="E11" s="3282" t="s">
        <v>598</v>
      </c>
      <c r="F11" s="3283"/>
      <c r="G11" s="3307" t="str">
        <f>IF(G8="","",INDEX(DIFFERENTIATION_UNMERGE_SYSTEM,MATCH(G8,DIFFERENTIATION_ID_DIFF,0)))</f>
        <v/>
      </c>
      <c r="H11" s="3308"/>
      <c r="I11" s="3307" t="str">
        <f>IF(I8="","",INDEX(DIFFERENTIATION_UNMERGE_SYSTEM,MATCH(I8,DIFFERENTIATION_ID_DIFF,0)))</f>
        <v>без дифференциации</v>
      </c>
      <c r="J11" s="3308"/>
      <c r="K11" s="3149"/>
      <c r="U11" s="609"/>
      <c r="V11" s="690">
        <v>15</v>
      </c>
    </row>
    <row r="12" spans="1:22" s="2004" customFormat="1" ht="15.75" customHeight="1">
      <c r="A12" s="691"/>
      <c r="C12" s="111"/>
      <c r="D12" s="3284" t="s">
        <v>335</v>
      </c>
      <c r="E12" s="3285"/>
      <c r="F12" s="3285"/>
      <c r="G12" s="810"/>
      <c r="H12" s="810"/>
      <c r="I12" s="810"/>
      <c r="J12" s="810"/>
      <c r="K12" s="3149"/>
      <c r="U12" s="609"/>
      <c r="V12" s="690">
        <v>15</v>
      </c>
    </row>
    <row r="13" spans="1:22" ht="35.65" customHeight="1">
      <c r="C13" s="111"/>
      <c r="D13" s="733" t="s">
        <v>89</v>
      </c>
      <c r="E13" s="735" t="s">
        <v>337</v>
      </c>
      <c r="F13" s="735" t="s">
        <v>599</v>
      </c>
      <c r="G13" s="736" t="s">
        <v>338</v>
      </c>
      <c r="H13" s="735" t="s">
        <v>425</v>
      </c>
      <c r="I13" s="736" t="s">
        <v>338</v>
      </c>
      <c r="J13" s="735" t="s">
        <v>425</v>
      </c>
      <c r="K13" s="3178"/>
      <c r="V13" s="439">
        <v>34</v>
      </c>
    </row>
    <row r="14" spans="1:22" ht="15" hidden="1" customHeight="1">
      <c r="C14" s="111"/>
      <c r="D14" s="527" t="s">
        <v>124</v>
      </c>
      <c r="E14" s="527" t="s">
        <v>104</v>
      </c>
      <c r="F14" s="527" t="s">
        <v>91</v>
      </c>
      <c r="G14" s="593" t="str">
        <f>G1&amp;".1"</f>
        <v>4.1</v>
      </c>
      <c r="H14" s="593"/>
      <c r="I14" s="593" t="str">
        <f>I1&amp;".1"</f>
        <v>4.1</v>
      </c>
      <c r="J14" s="593"/>
      <c r="K14" s="224"/>
      <c r="V14" s="439">
        <v>0</v>
      </c>
    </row>
    <row r="15" spans="1:22" ht="22.5" hidden="1" customHeight="1">
      <c r="A15" s="439"/>
      <c r="C15" s="460"/>
      <c r="D15" s="455">
        <v>1</v>
      </c>
      <c r="E15" s="611" t="s">
        <v>841</v>
      </c>
      <c r="F15" s="455" t="s">
        <v>842</v>
      </c>
      <c r="G15" s="612"/>
      <c r="H15" s="612"/>
      <c r="I15" s="612"/>
      <c r="J15" s="612"/>
      <c r="K15" s="224" t="s">
        <v>843</v>
      </c>
      <c r="V15" s="439">
        <v>0</v>
      </c>
    </row>
    <row r="16" spans="1:22" ht="22.5" hidden="1" customHeight="1">
      <c r="A16" s="439"/>
      <c r="C16" s="460"/>
      <c r="D16" s="455">
        <v>2</v>
      </c>
      <c r="E16" s="214" t="s">
        <v>844</v>
      </c>
      <c r="F16" s="455" t="s">
        <v>845</v>
      </c>
      <c r="G16" s="612"/>
      <c r="H16" s="612"/>
      <c r="I16" s="612"/>
      <c r="J16" s="612"/>
      <c r="K16" s="224" t="s">
        <v>846</v>
      </c>
      <c r="V16" s="439">
        <v>0</v>
      </c>
    </row>
    <row r="17" spans="1:22" ht="123.75" hidden="1" customHeight="1">
      <c r="A17" s="439"/>
      <c r="C17" s="460"/>
      <c r="D17" s="455">
        <v>3</v>
      </c>
      <c r="E17" s="214" t="s">
        <v>1193</v>
      </c>
      <c r="F17" s="455" t="s">
        <v>341</v>
      </c>
      <c r="G17" s="612"/>
      <c r="H17" s="612"/>
      <c r="I17" s="612"/>
      <c r="J17" s="612"/>
      <c r="K17" s="224" t="s">
        <v>1194</v>
      </c>
      <c r="V17" s="439">
        <v>0</v>
      </c>
    </row>
    <row r="18" spans="1:22" ht="48.25" customHeight="1">
      <c r="A18" s="439"/>
      <c r="C18" s="460"/>
      <c r="D18" s="455">
        <v>3</v>
      </c>
      <c r="E18" s="214" t="s">
        <v>847</v>
      </c>
      <c r="F18" s="455" t="s">
        <v>341</v>
      </c>
      <c r="G18" s="737" t="s">
        <v>341</v>
      </c>
      <c r="H18" s="738" t="s">
        <v>341</v>
      </c>
      <c r="I18" s="455" t="s">
        <v>341</v>
      </c>
      <c r="J18" s="512" t="s">
        <v>341</v>
      </c>
      <c r="K18" s="224" t="s">
        <v>1195</v>
      </c>
      <c r="V18" s="439">
        <v>46</v>
      </c>
    </row>
    <row r="19" spans="1:22" ht="35.65" customHeight="1">
      <c r="A19" s="439"/>
      <c r="C19" s="460"/>
      <c r="D19" s="473" t="s">
        <v>359</v>
      </c>
      <c r="E19" s="493" t="s">
        <v>849</v>
      </c>
      <c r="F19" s="455" t="s">
        <v>850</v>
      </c>
      <c r="G19" s="745"/>
      <c r="H19" s="44"/>
      <c r="I19" s="745"/>
      <c r="J19" s="746"/>
      <c r="K19" s="613"/>
      <c r="V19" s="439">
        <v>34</v>
      </c>
    </row>
    <row r="20" spans="1:22" ht="35.65" customHeight="1">
      <c r="A20" s="439"/>
      <c r="C20" s="460"/>
      <c r="D20" s="1804" t="s">
        <v>367</v>
      </c>
      <c r="E20" s="493" t="s">
        <v>851</v>
      </c>
      <c r="F20" s="455" t="s">
        <v>852</v>
      </c>
      <c r="G20" s="745"/>
      <c r="H20" s="44"/>
      <c r="I20" s="745"/>
      <c r="J20" s="44"/>
      <c r="K20" s="613"/>
      <c r="V20" s="439">
        <v>34</v>
      </c>
    </row>
    <row r="21" spans="1:22" ht="48.25" customHeight="1">
      <c r="A21" s="439"/>
      <c r="C21" s="460"/>
      <c r="D21" s="1804" t="s">
        <v>369</v>
      </c>
      <c r="E21" s="493" t="s">
        <v>853</v>
      </c>
      <c r="F21" s="455" t="s">
        <v>604</v>
      </c>
      <c r="G21" s="614"/>
      <c r="H21" s="44"/>
      <c r="I21" s="614"/>
      <c r="J21" s="44"/>
      <c r="K21" s="613"/>
      <c r="V21" s="439">
        <v>46</v>
      </c>
    </row>
    <row r="22" spans="1:22" ht="67.5" hidden="1" customHeight="1">
      <c r="A22" s="439"/>
      <c r="C22" s="460"/>
      <c r="D22" s="455">
        <v>5</v>
      </c>
      <c r="E22" s="214" t="s">
        <v>1196</v>
      </c>
      <c r="F22" s="455" t="s">
        <v>591</v>
      </c>
      <c r="G22" s="615"/>
      <c r="H22" s="616"/>
      <c r="I22" s="615"/>
      <c r="J22" s="616"/>
      <c r="K22" s="224" t="s">
        <v>1197</v>
      </c>
      <c r="V22" s="439">
        <v>0</v>
      </c>
    </row>
    <row r="23" spans="1:22" ht="33.75" hidden="1" customHeight="1">
      <c r="C23" s="385"/>
      <c r="D23" s="455">
        <v>6</v>
      </c>
      <c r="E23" s="214" t="s">
        <v>1198</v>
      </c>
      <c r="F23" s="455" t="s">
        <v>1199</v>
      </c>
      <c r="G23" s="615"/>
      <c r="H23" s="615"/>
      <c r="I23" s="615"/>
      <c r="J23" s="615"/>
      <c r="K23" s="224" t="s">
        <v>1200</v>
      </c>
      <c r="V23" s="439">
        <v>0</v>
      </c>
    </row>
    <row r="24" spans="1:22" ht="15.75" customHeight="1">
      <c r="V24" s="439">
        <v>15</v>
      </c>
    </row>
    <row r="25" spans="1:22" ht="15.75" customHeight="1">
      <c r="V25" s="439">
        <v>15</v>
      </c>
    </row>
    <row r="26" spans="1:22" ht="15.75" customHeight="1">
      <c r="V26" s="439">
        <v>15</v>
      </c>
    </row>
    <row r="27" spans="1:22" ht="15.75" customHeight="1">
      <c r="V27" s="439">
        <v>15</v>
      </c>
    </row>
    <row r="28" spans="1:22" ht="15.75" customHeight="1">
      <c r="V28" s="439">
        <v>15</v>
      </c>
    </row>
    <row r="29" spans="1:22" ht="15.75" customHeight="1">
      <c r="J29" s="747"/>
      <c r="V29" s="439">
        <v>15</v>
      </c>
    </row>
    <row r="30" spans="1:22" ht="22.5" hidden="1" customHeight="1">
      <c r="A30" s="383" t="s">
        <v>83</v>
      </c>
      <c r="B30" s="439">
        <v>0</v>
      </c>
      <c r="C30" s="617">
        <v>4</v>
      </c>
      <c r="D30" s="439">
        <v>6</v>
      </c>
      <c r="E30" s="439">
        <v>47</v>
      </c>
      <c r="F30" s="439">
        <v>9</v>
      </c>
      <c r="G30" s="690">
        <v>0</v>
      </c>
      <c r="H30" s="690">
        <v>0</v>
      </c>
      <c r="I30" s="439">
        <v>25</v>
      </c>
      <c r="J30" s="439">
        <v>33</v>
      </c>
      <c r="K30" s="351">
        <v>50</v>
      </c>
      <c r="L30" s="439">
        <v>10</v>
      </c>
      <c r="M30" s="439">
        <v>10</v>
      </c>
      <c r="N30" s="439">
        <v>10</v>
      </c>
      <c r="O30" s="439">
        <v>10</v>
      </c>
      <c r="P30" s="439">
        <v>10</v>
      </c>
      <c r="Q30" s="439">
        <v>10</v>
      </c>
      <c r="R30" s="439">
        <v>10</v>
      </c>
      <c r="S30" s="439">
        <v>10</v>
      </c>
      <c r="T30" s="439">
        <v>10</v>
      </c>
      <c r="U30" s="609">
        <v>10</v>
      </c>
      <c r="V30" s="439">
        <v>23</v>
      </c>
    </row>
  </sheetData>
  <sheetProtection formatColumns="0" formatRows="0" insertRows="0" deleteColumns="0" deleteRows="0" sort="0" autoFilter="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xr:uid="{00000000-0002-0000-3100-000000000000}">
      <formula1>900</formula1>
    </dataValidation>
    <dataValidation type="whole" allowBlank="1" showErrorMessage="1" errorTitle="Ошибка" error="Допускается ввод только неотрицательных целых чисел!" sqref="G19:G20 I19:I20" xr:uid="{00000000-0002-0000-3100-00000100000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xr:uid="{00000000-0002-0000-3100-000002000000}"/>
    <dataValidation type="decimal" allowBlank="1" showErrorMessage="1" errorTitle="Ошибка" error="Допускается ввод только неотрицательных чисел!" sqref="G21 I21" xr:uid="{00000000-0002-0000-3100-00000300000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CC11BC-CB73-95C5-5B3B-9F508FF1C9A2}">
  <sheetPr>
    <tabColor rgb="FFFFCC99"/>
  </sheetPr>
  <dimension ref="A1:CD118"/>
  <sheetViews>
    <sheetView showGridLines="0" workbookViewId="0"/>
  </sheetViews>
  <sheetFormatPr defaultColWidth="9.09765625" defaultRowHeight="11.25" customHeight="1"/>
  <cols>
    <col min="1" max="1" width="32.59765625" style="2991" customWidth="1"/>
    <col min="2" max="2" width="11" style="2021" customWidth="1"/>
    <col min="3" max="3" width="9.09765625" style="2021"/>
    <col min="4" max="4" width="26.59765625" style="2021" customWidth="1"/>
    <col min="5" max="5" width="36.796875" style="2994" customWidth="1"/>
    <col min="6" max="6" width="23.59765625" style="2994" customWidth="1"/>
    <col min="7" max="7" width="31.3984375" style="2994" customWidth="1"/>
    <col min="8" max="8" width="40.796875" style="2994" customWidth="1"/>
    <col min="9" max="9" width="14.59765625" style="2994" customWidth="1"/>
    <col min="10" max="10" width="26.796875" style="2994" customWidth="1"/>
    <col min="11" max="11" width="50" style="2994" customWidth="1"/>
    <col min="12" max="12" width="52.3984375" style="2994" customWidth="1"/>
    <col min="13" max="13" width="10.69921875" style="2994" customWidth="1"/>
    <col min="14" max="14" width="55.09765625" style="2994" customWidth="1"/>
    <col min="15" max="15" width="31.796875" style="2994" customWidth="1"/>
    <col min="16" max="16" width="23.796875" style="2994" customWidth="1"/>
    <col min="17" max="17" width="46.59765625" style="2994" customWidth="1"/>
    <col min="18" max="18" width="24" style="2994" customWidth="1"/>
    <col min="19" max="19" width="20.59765625" style="2994" customWidth="1"/>
    <col min="20" max="20" width="22" style="2994" customWidth="1"/>
    <col min="21" max="22" width="26.3984375" style="2994" customWidth="1"/>
    <col min="23" max="23" width="8.296875" style="2994" hidden="1" customWidth="1"/>
    <col min="24" max="24" width="59.69921875" style="2994" customWidth="1"/>
    <col min="25" max="25" width="49.09765625" style="2994" customWidth="1"/>
    <col min="26" max="26" width="11.09765625" style="2994" customWidth="1"/>
    <col min="27" max="30" width="29" style="2994" customWidth="1"/>
    <col min="31" max="31" width="9.09765625" style="2994"/>
    <col min="32" max="32" width="34.69921875" style="2994" customWidth="1"/>
    <col min="33" max="33" width="9.09765625" style="2994"/>
    <col min="34" max="35" width="34.3984375" style="2994" customWidth="1"/>
    <col min="36" max="36" width="9.09765625" style="2994"/>
    <col min="37" max="37" width="24.59765625" style="2994" customWidth="1"/>
    <col min="38" max="38" width="9.09765625" style="2994"/>
    <col min="39" max="39" width="26.09765625" style="2994" customWidth="1"/>
    <col min="40" max="40" width="1.69921875" style="2994" customWidth="1"/>
    <col min="41" max="41" width="9.09765625" style="2994"/>
    <col min="42" max="43" width="47.796875" style="2994" customWidth="1"/>
    <col min="44" max="44" width="1.69921875" style="2994" customWidth="1"/>
    <col min="45" max="45" width="21.3984375" style="2994" customWidth="1"/>
    <col min="46" max="46" width="1.69921875" style="2994" customWidth="1"/>
    <col min="47" max="47" width="31.296875" style="2994" customWidth="1"/>
    <col min="48" max="48" width="1.69921875" style="2994" customWidth="1"/>
    <col min="49" max="50" width="9.09765625" style="2994"/>
    <col min="51" max="51" width="3.69921875" style="2994" customWidth="1"/>
    <col min="52" max="52" width="60.796875" style="2994" customWidth="1"/>
    <col min="53" max="53" width="49.296875" style="2994" customWidth="1"/>
    <col min="54" max="54" width="35.09765625" style="2994" customWidth="1"/>
    <col min="55" max="55" width="9.09765625" style="2994"/>
    <col min="56" max="56" width="1.69921875" style="2994" customWidth="1"/>
    <col min="57" max="57" width="12.59765625" style="3001" customWidth="1"/>
    <col min="58" max="58" width="14.296875" style="3001" customWidth="1"/>
    <col min="59" max="59" width="30.69921875" style="2994" customWidth="1"/>
    <col min="60" max="60" width="40.69921875" style="2048" customWidth="1"/>
    <col min="61" max="61" width="15" style="2048" customWidth="1"/>
    <col min="62" max="62" width="40.69921875" style="2048" customWidth="1"/>
    <col min="63" max="63" width="2.69921875" style="2048" customWidth="1"/>
    <col min="64" max="64" width="44.69921875" style="2048" customWidth="1"/>
    <col min="65" max="65" width="2.69921875" style="2048" customWidth="1"/>
    <col min="66" max="66" width="40.69921875" style="2048" customWidth="1"/>
    <col min="67" max="68" width="9.09765625" style="2994"/>
    <col min="69" max="69" width="18.09765625" style="2994" customWidth="1"/>
    <col min="70" max="70" width="57.796875" style="2994" customWidth="1"/>
    <col min="71" max="71" width="1.69921875" style="2994" customWidth="1"/>
    <col min="72" max="72" width="22.59765625" style="2994" customWidth="1"/>
    <col min="73" max="73" width="57.796875" style="2994" customWidth="1"/>
    <col min="74" max="74" width="1.69921875" style="2994" customWidth="1"/>
    <col min="75" max="75" width="22.59765625" style="2994" customWidth="1"/>
    <col min="76" max="76" width="57.796875" style="2994" customWidth="1"/>
    <col min="77" max="77" width="1.69921875" style="2994" customWidth="1"/>
    <col min="78" max="78" width="22.59765625" style="2994" customWidth="1"/>
    <col min="79" max="79" width="57.796875" style="2994" customWidth="1"/>
    <col min="80" max="81" width="9.09765625" style="2994"/>
    <col min="82" max="82" width="49.59765625" style="2994" customWidth="1"/>
  </cols>
  <sheetData>
    <row r="1" spans="1:79" s="2999" customFormat="1" ht="11.25" customHeight="1">
      <c r="A1" s="987" t="s">
        <v>1201</v>
      </c>
      <c r="B1" s="987" t="s">
        <v>1202</v>
      </c>
      <c r="C1" s="987" t="s">
        <v>1203</v>
      </c>
      <c r="D1" s="987" t="s">
        <v>1204</v>
      </c>
      <c r="E1" s="987" t="s">
        <v>1205</v>
      </c>
      <c r="F1" s="987" t="s">
        <v>1206</v>
      </c>
      <c r="G1" s="987" t="s">
        <v>1207</v>
      </c>
      <c r="H1" s="987" t="s">
        <v>1208</v>
      </c>
      <c r="I1" s="987" t="s">
        <v>1209</v>
      </c>
      <c r="J1" s="987" t="s">
        <v>1210</v>
      </c>
      <c r="K1" s="987" t="s">
        <v>1211</v>
      </c>
      <c r="L1" s="987" t="s">
        <v>1212</v>
      </c>
      <c r="M1" s="987"/>
      <c r="N1" s="987" t="s">
        <v>1213</v>
      </c>
      <c r="O1" s="987" t="s">
        <v>1214</v>
      </c>
      <c r="P1" s="987" t="s">
        <v>1215</v>
      </c>
      <c r="Q1" s="987" t="s">
        <v>1216</v>
      </c>
      <c r="R1" s="987" t="s">
        <v>1217</v>
      </c>
      <c r="S1" s="987" t="s">
        <v>1218</v>
      </c>
      <c r="T1" s="987" t="s">
        <v>1219</v>
      </c>
      <c r="U1" s="987" t="s">
        <v>1220</v>
      </c>
      <c r="V1" s="987"/>
      <c r="W1" s="725" t="s">
        <v>1221</v>
      </c>
      <c r="X1" s="987" t="s">
        <v>1222</v>
      </c>
      <c r="Y1" s="987" t="s">
        <v>1223</v>
      </c>
      <c r="Z1" s="987"/>
      <c r="AA1" s="987" t="s">
        <v>1224</v>
      </c>
      <c r="AB1" s="987"/>
      <c r="AC1" s="987" t="s">
        <v>1225</v>
      </c>
      <c r="AD1" s="987"/>
      <c r="AF1" s="987" t="s">
        <v>1226</v>
      </c>
      <c r="AH1" s="987" t="s">
        <v>1227</v>
      </c>
      <c r="AI1" s="987" t="s">
        <v>1228</v>
      </c>
      <c r="AK1" s="987" t="s">
        <v>1229</v>
      </c>
      <c r="AM1" s="987" t="s">
        <v>1230</v>
      </c>
      <c r="AP1" s="987" t="s">
        <v>1231</v>
      </c>
      <c r="AQ1" s="987" t="s">
        <v>1232</v>
      </c>
      <c r="AS1" s="987" t="s">
        <v>1233</v>
      </c>
      <c r="AU1" s="987" t="s">
        <v>1234</v>
      </c>
      <c r="AW1" s="987" t="s">
        <v>1235</v>
      </c>
      <c r="AX1" s="987" t="s">
        <v>1236</v>
      </c>
      <c r="AZ1" s="1069" t="s">
        <v>1237</v>
      </c>
      <c r="BB1" s="987" t="s">
        <v>1238</v>
      </c>
      <c r="BC1" s="987"/>
      <c r="BE1" s="987" t="s">
        <v>1239</v>
      </c>
      <c r="BF1" s="987" t="s">
        <v>1240</v>
      </c>
      <c r="BH1" s="989" t="s">
        <v>840</v>
      </c>
      <c r="BI1" s="990"/>
      <c r="BJ1" s="991" t="s">
        <v>1241</v>
      </c>
      <c r="BK1" s="990"/>
      <c r="BL1" s="992" t="s">
        <v>939</v>
      </c>
      <c r="BM1" s="990"/>
      <c r="BN1" s="993" t="s">
        <v>1242</v>
      </c>
      <c r="BS1" s="1344"/>
    </row>
    <row r="2" spans="1:79" ht="11.25" customHeight="1">
      <c r="A2" s="994" t="s">
        <v>1243</v>
      </c>
      <c r="B2" s="995">
        <v>2000</v>
      </c>
      <c r="C2" s="995">
        <v>2022</v>
      </c>
      <c r="D2" s="995" t="s">
        <v>67</v>
      </c>
      <c r="E2" s="996" t="s">
        <v>1244</v>
      </c>
      <c r="F2" s="996" t="s">
        <v>1245</v>
      </c>
      <c r="G2" s="996" t="s">
        <v>1246</v>
      </c>
      <c r="H2" s="997" t="s">
        <v>1247</v>
      </c>
      <c r="I2" s="996" t="s">
        <v>124</v>
      </c>
      <c r="J2" s="996" t="s">
        <v>1248</v>
      </c>
      <c r="K2" s="998" t="s">
        <v>1249</v>
      </c>
      <c r="L2" s="999"/>
      <c r="M2" s="998">
        <v>1</v>
      </c>
      <c r="N2" s="1079" t="s">
        <v>1250</v>
      </c>
      <c r="O2" s="997" t="s">
        <v>482</v>
      </c>
      <c r="P2" s="1000" t="s">
        <v>1251</v>
      </c>
      <c r="Q2" s="1001" t="s">
        <v>481</v>
      </c>
      <c r="R2" s="80" t="s">
        <v>1252</v>
      </c>
      <c r="S2" s="80" t="s">
        <v>1253</v>
      </c>
      <c r="T2" s="1002" t="s">
        <v>1254</v>
      </c>
      <c r="U2" s="999" t="s">
        <v>1255</v>
      </c>
      <c r="V2" s="1003">
        <v>1</v>
      </c>
      <c r="W2" s="1004"/>
      <c r="X2" s="1004" t="s">
        <v>1256</v>
      </c>
      <c r="Y2" s="995" t="s">
        <v>1257</v>
      </c>
      <c r="Z2" s="1005"/>
      <c r="AA2" s="995" t="s">
        <v>1258</v>
      </c>
      <c r="AB2" s="1006" t="s">
        <v>1258</v>
      </c>
      <c r="AC2" s="995" t="s">
        <v>1259</v>
      </c>
      <c r="AD2" s="1006" t="s">
        <v>1259</v>
      </c>
      <c r="AF2" s="997" t="s">
        <v>1255</v>
      </c>
      <c r="AH2" s="996" t="s">
        <v>1260</v>
      </c>
      <c r="AI2" s="996" t="s">
        <v>1260</v>
      </c>
      <c r="AK2" s="996" t="s">
        <v>1261</v>
      </c>
      <c r="AM2" s="996" t="s">
        <v>1262</v>
      </c>
      <c r="AP2" s="1007" t="s">
        <v>1256</v>
      </c>
      <c r="AQ2" s="1008" t="s">
        <v>1256</v>
      </c>
      <c r="AS2" s="995" t="s">
        <v>1263</v>
      </c>
      <c r="AU2" s="1037" t="s">
        <v>1264</v>
      </c>
      <c r="AW2" s="1037" t="s">
        <v>1265</v>
      </c>
      <c r="AX2" s="1037" t="s">
        <v>1265</v>
      </c>
      <c r="AZ2" s="1037" t="s">
        <v>54</v>
      </c>
      <c r="BB2" s="1037" t="s">
        <v>1266</v>
      </c>
      <c r="BC2" s="1037" t="s">
        <v>1267</v>
      </c>
      <c r="BE2" s="1037">
        <v>2000</v>
      </c>
      <c r="BF2" s="1037" t="s">
        <v>1268</v>
      </c>
    </row>
    <row r="3" spans="1:79" ht="11.25" customHeight="1">
      <c r="A3" s="994" t="s">
        <v>1269</v>
      </c>
      <c r="B3" s="995">
        <v>2001</v>
      </c>
      <c r="C3" s="995">
        <v>2023</v>
      </c>
      <c r="D3" s="995" t="s">
        <v>19</v>
      </c>
      <c r="E3" s="996" t="s">
        <v>1270</v>
      </c>
      <c r="F3" s="996" t="s">
        <v>1271</v>
      </c>
      <c r="G3" s="996" t="s">
        <v>1272</v>
      </c>
      <c r="H3" s="997" t="s">
        <v>56</v>
      </c>
      <c r="I3" s="996" t="s">
        <v>104</v>
      </c>
      <c r="J3" s="996" t="s">
        <v>589</v>
      </c>
      <c r="K3" s="998" t="s">
        <v>1183</v>
      </c>
      <c r="L3" s="999">
        <f>IFERROR(MATCH(K3,OFFER_METHOD,0),0)</f>
        <v>4</v>
      </c>
      <c r="M3" s="998">
        <v>2</v>
      </c>
      <c r="N3" s="1079" t="s">
        <v>1273</v>
      </c>
      <c r="O3" s="997" t="s">
        <v>1274</v>
      </c>
      <c r="P3" s="1000" t="s">
        <v>37</v>
      </c>
      <c r="Q3" s="1001" t="s">
        <v>1275</v>
      </c>
      <c r="R3" s="80" t="s">
        <v>1276</v>
      </c>
      <c r="S3" s="80" t="s">
        <v>1277</v>
      </c>
      <c r="T3" s="1002" t="s">
        <v>1278</v>
      </c>
      <c r="U3" s="999" t="s">
        <v>1279</v>
      </c>
      <c r="V3" s="1003">
        <v>2</v>
      </c>
      <c r="W3" s="1004"/>
      <c r="X3" s="1004" t="s">
        <v>1280</v>
      </c>
      <c r="Y3" s="995" t="s">
        <v>1257</v>
      </c>
      <c r="Z3" s="1005"/>
      <c r="AA3" s="995" t="s">
        <v>1281</v>
      </c>
      <c r="AB3" s="1006" t="s">
        <v>1281</v>
      </c>
      <c r="AC3" s="995" t="s">
        <v>1282</v>
      </c>
      <c r="AD3" s="1006" t="s">
        <v>1282</v>
      </c>
      <c r="AF3" s="997" t="s">
        <v>1279</v>
      </c>
      <c r="AH3" s="996" t="s">
        <v>1283</v>
      </c>
      <c r="AI3" s="996" t="s">
        <v>1284</v>
      </c>
      <c r="AK3" s="996" t="s">
        <v>1285</v>
      </c>
      <c r="AM3" s="996" t="s">
        <v>1286</v>
      </c>
      <c r="AP3" s="1007" t="s">
        <v>1287</v>
      </c>
      <c r="AQ3" s="1008" t="s">
        <v>1287</v>
      </c>
      <c r="AS3" s="995" t="s">
        <v>1288</v>
      </c>
      <c r="AU3" s="1037" t="s">
        <v>1289</v>
      </c>
      <c r="AW3" s="1037" t="s">
        <v>1290</v>
      </c>
      <c r="AX3" s="1037" t="s">
        <v>1290</v>
      </c>
      <c r="AZ3" s="1037" t="s">
        <v>1291</v>
      </c>
      <c r="BB3" s="1037" t="s">
        <v>1292</v>
      </c>
      <c r="BC3" s="1037" t="s">
        <v>1267</v>
      </c>
      <c r="BE3" s="1037">
        <v>2001</v>
      </c>
      <c r="BF3" s="1037" t="s">
        <v>1293</v>
      </c>
      <c r="BH3" s="987" t="s">
        <v>1294</v>
      </c>
      <c r="BJ3" s="987" t="s">
        <v>1295</v>
      </c>
      <c r="BL3" s="987" t="s">
        <v>1296</v>
      </c>
      <c r="BN3" s="987" t="s">
        <v>1297</v>
      </c>
      <c r="BR3" s="987" t="s">
        <v>1298</v>
      </c>
      <c r="BS3" s="1345"/>
      <c r="BT3" s="990"/>
      <c r="BU3" s="987" t="s">
        <v>1299</v>
      </c>
      <c r="BV3" s="990"/>
      <c r="BW3" s="1607"/>
      <c r="BX3" s="1609" t="s">
        <v>1300</v>
      </c>
      <c r="CA3" s="987" t="s">
        <v>1301</v>
      </c>
    </row>
    <row r="4" spans="1:79" ht="11.25" customHeight="1">
      <c r="A4" s="994" t="s">
        <v>1302</v>
      </c>
      <c r="B4" s="995">
        <v>2002</v>
      </c>
      <c r="C4" s="995">
        <v>2024</v>
      </c>
      <c r="E4" s="996" t="s">
        <v>1303</v>
      </c>
      <c r="F4" s="996" t="s">
        <v>1304</v>
      </c>
      <c r="H4" s="997" t="s">
        <v>1305</v>
      </c>
      <c r="I4" s="996" t="s">
        <v>91</v>
      </c>
      <c r="J4" s="996" t="s">
        <v>1306</v>
      </c>
      <c r="K4" s="998" t="s">
        <v>1307</v>
      </c>
      <c r="L4" s="999">
        <f>IFERROR(MATCH(K4,OFFER_METHOD,0),0)</f>
        <v>0</v>
      </c>
      <c r="M4" s="998">
        <v>3</v>
      </c>
      <c r="N4" s="1079" t="s">
        <v>1308</v>
      </c>
      <c r="O4" s="996" t="s">
        <v>1309</v>
      </c>
      <c r="Q4" s="1001" t="s">
        <v>1310</v>
      </c>
      <c r="R4" s="80" t="s">
        <v>1311</v>
      </c>
      <c r="S4" s="80" t="s">
        <v>1312</v>
      </c>
      <c r="T4" s="1002" t="s">
        <v>1313</v>
      </c>
      <c r="U4" s="999" t="s">
        <v>1314</v>
      </c>
      <c r="V4" s="1003">
        <v>3</v>
      </c>
      <c r="W4" s="1004"/>
      <c r="X4" s="1004" t="s">
        <v>1315</v>
      </c>
      <c r="Y4" s="995" t="s">
        <v>1257</v>
      </c>
      <c r="Z4" s="1010"/>
      <c r="AC4" s="995" t="s">
        <v>1316</v>
      </c>
      <c r="AD4" s="1006" t="s">
        <v>1316</v>
      </c>
      <c r="AF4" s="997" t="s">
        <v>1314</v>
      </c>
      <c r="AH4" s="997" t="s">
        <v>1317</v>
      </c>
      <c r="AK4" s="996" t="s">
        <v>1318</v>
      </c>
      <c r="AM4" s="996" t="s">
        <v>1319</v>
      </c>
      <c r="AP4" s="1007" t="s">
        <v>1280</v>
      </c>
      <c r="AQ4" s="1008" t="s">
        <v>1280</v>
      </c>
      <c r="AS4" s="995" t="s">
        <v>1320</v>
      </c>
      <c r="AU4" s="1037" t="s">
        <v>1321</v>
      </c>
      <c r="AW4" s="1037" t="s">
        <v>1322</v>
      </c>
      <c r="AX4" s="1037" t="s">
        <v>1322</v>
      </c>
      <c r="AZ4" s="1037" t="s">
        <v>1323</v>
      </c>
      <c r="BB4" s="1037" t="s">
        <v>1324</v>
      </c>
      <c r="BC4" s="1037" t="s">
        <v>1325</v>
      </c>
      <c r="BE4" s="1037">
        <v>2002</v>
      </c>
      <c r="BF4" s="1037" t="s">
        <v>1326</v>
      </c>
      <c r="BH4" s="988" t="s">
        <v>1327</v>
      </c>
      <c r="BJ4" s="988" t="s">
        <v>1327</v>
      </c>
      <c r="BL4" s="988" t="s">
        <v>1327</v>
      </c>
      <c r="BN4" s="988" t="s">
        <v>1327</v>
      </c>
      <c r="BQ4" s="1349" t="s">
        <v>1328</v>
      </c>
      <c r="BR4" s="1076" t="s">
        <v>1329</v>
      </c>
      <c r="BS4" s="209"/>
      <c r="BT4" s="1349" t="s">
        <v>1330</v>
      </c>
      <c r="BU4" s="1076" t="s">
        <v>1331</v>
      </c>
      <c r="BV4" s="990"/>
      <c r="BW4" s="1614" t="s">
        <v>1332</v>
      </c>
      <c r="BX4" s="1608" t="s">
        <v>1333</v>
      </c>
      <c r="BZ4" s="1349" t="s">
        <v>1334</v>
      </c>
      <c r="CA4" s="1076" t="s">
        <v>1335</v>
      </c>
    </row>
    <row r="5" spans="1:79" ht="11.25" customHeight="1">
      <c r="A5" s="994" t="s">
        <v>1336</v>
      </c>
      <c r="B5" s="995">
        <v>2003</v>
      </c>
      <c r="C5" s="995">
        <v>2025</v>
      </c>
      <c r="E5" s="996" t="s">
        <v>1337</v>
      </c>
      <c r="F5" s="996" t="s">
        <v>1338</v>
      </c>
      <c r="H5" s="997" t="s">
        <v>1339</v>
      </c>
      <c r="I5" s="996" t="s">
        <v>92</v>
      </c>
      <c r="K5" s="998" t="s">
        <v>1340</v>
      </c>
      <c r="L5" s="999">
        <f>IFERROR(MATCH(K5,OFFER_METHOD,0),0)</f>
        <v>0</v>
      </c>
      <c r="M5" s="998">
        <v>4</v>
      </c>
      <c r="N5" s="1011" t="s">
        <v>1341</v>
      </c>
      <c r="O5" s="996" t="s">
        <v>1342</v>
      </c>
      <c r="Q5" s="1001" t="s">
        <v>1343</v>
      </c>
      <c r="R5" s="80" t="s">
        <v>1344</v>
      </c>
      <c r="T5" s="997" t="s">
        <v>1345</v>
      </c>
      <c r="U5" s="999" t="s">
        <v>1346</v>
      </c>
      <c r="V5" s="1003">
        <v>4</v>
      </c>
      <c r="W5" s="1004"/>
      <c r="X5" s="1004" t="s">
        <v>190</v>
      </c>
      <c r="Y5" s="995" t="s">
        <v>1347</v>
      </c>
      <c r="Z5" s="1010">
        <v>1</v>
      </c>
      <c r="AF5" s="997" t="s">
        <v>1348</v>
      </c>
      <c r="AH5" s="996" t="s">
        <v>1349</v>
      </c>
      <c r="AK5" s="996" t="s">
        <v>1350</v>
      </c>
      <c r="AM5" s="996" t="s">
        <v>1351</v>
      </c>
      <c r="AP5" s="1007" t="s">
        <v>190</v>
      </c>
      <c r="AQ5" s="1008" t="s">
        <v>190</v>
      </c>
      <c r="AU5" s="1037" t="s">
        <v>1352</v>
      </c>
      <c r="AW5" s="1037" t="s">
        <v>1353</v>
      </c>
      <c r="AX5" s="1037" t="s">
        <v>1353</v>
      </c>
      <c r="AZ5" s="1037" t="s">
        <v>1354</v>
      </c>
      <c r="BB5" s="1037" t="s">
        <v>1355</v>
      </c>
      <c r="BC5" s="1037" t="s">
        <v>1356</v>
      </c>
      <c r="BE5" s="1037">
        <v>2003</v>
      </c>
      <c r="BF5" s="1037" t="s">
        <v>1357</v>
      </c>
      <c r="BH5" s="988" t="s">
        <v>1358</v>
      </c>
      <c r="BJ5" s="988" t="s">
        <v>1358</v>
      </c>
      <c r="BL5" s="988" t="s">
        <v>1358</v>
      </c>
      <c r="BN5" s="988" t="s">
        <v>1359</v>
      </c>
      <c r="BQ5" s="1198">
        <v>4213775</v>
      </c>
      <c r="BR5" s="988" t="s">
        <v>1256</v>
      </c>
      <c r="BS5" s="1346"/>
      <c r="BT5" s="1198">
        <v>64236871</v>
      </c>
      <c r="BU5" s="988" t="s">
        <v>264</v>
      </c>
      <c r="BV5" s="990"/>
      <c r="BW5" s="1612">
        <v>4213767</v>
      </c>
      <c r="BX5" s="1610" t="s">
        <v>1360</v>
      </c>
      <c r="BZ5" s="1198">
        <v>64237509</v>
      </c>
      <c r="CA5" s="1212" t="s">
        <v>1361</v>
      </c>
    </row>
    <row r="6" spans="1:79" ht="11.25" customHeight="1">
      <c r="A6" s="994" t="s">
        <v>1362</v>
      </c>
      <c r="B6" s="995">
        <v>2004</v>
      </c>
      <c r="C6" s="995">
        <v>2026</v>
      </c>
      <c r="E6" s="996" t="s">
        <v>1363</v>
      </c>
      <c r="F6" s="1012"/>
      <c r="H6" s="997" t="s">
        <v>1364</v>
      </c>
      <c r="I6" s="996" t="s">
        <v>125</v>
      </c>
      <c r="J6" s="987" t="s">
        <v>1365</v>
      </c>
      <c r="L6" s="999">
        <f>SUM(kind_of_control_method_filter)</f>
        <v>4</v>
      </c>
      <c r="N6" s="1011" t="s">
        <v>1366</v>
      </c>
      <c r="O6" s="996" t="s">
        <v>1367</v>
      </c>
      <c r="R6" s="80" t="s">
        <v>481</v>
      </c>
      <c r="T6" s="997" t="s">
        <v>1368</v>
      </c>
      <c r="U6" s="999" t="s">
        <v>1348</v>
      </c>
      <c r="V6" s="1003">
        <v>5</v>
      </c>
      <c r="W6" s="1004"/>
      <c r="X6" s="995" t="s">
        <v>202</v>
      </c>
      <c r="Y6" s="995" t="s">
        <v>1369</v>
      </c>
      <c r="Z6" s="1010"/>
      <c r="AA6" s="1013"/>
      <c r="AH6" s="996" t="s">
        <v>1370</v>
      </c>
      <c r="AK6" s="996" t="s">
        <v>1371</v>
      </c>
      <c r="AM6" s="996" t="s">
        <v>1372</v>
      </c>
      <c r="AP6" s="1007" t="s">
        <v>202</v>
      </c>
      <c r="AQ6" s="1008" t="s">
        <v>202</v>
      </c>
      <c r="AU6" s="1037" t="s">
        <v>1373</v>
      </c>
      <c r="AW6" s="1037" t="s">
        <v>1374</v>
      </c>
      <c r="AX6" s="1037" t="s">
        <v>1374</v>
      </c>
      <c r="BB6" s="1037" t="s">
        <v>1375</v>
      </c>
      <c r="BC6" s="1037" t="s">
        <v>1356</v>
      </c>
      <c r="BE6" s="1037">
        <v>2004</v>
      </c>
      <c r="BF6" s="1037" t="s">
        <v>1376</v>
      </c>
      <c r="BH6" s="988" t="s">
        <v>1377</v>
      </c>
      <c r="BJ6" s="988" t="s">
        <v>1378</v>
      </c>
      <c r="BL6" s="988" t="s">
        <v>1378</v>
      </c>
      <c r="BN6" s="988" t="s">
        <v>1379</v>
      </c>
      <c r="BQ6" s="1198">
        <v>4213784</v>
      </c>
      <c r="BR6" s="1212" t="s">
        <v>1287</v>
      </c>
      <c r="BS6" s="1347"/>
      <c r="BT6" s="1198">
        <v>64236872</v>
      </c>
      <c r="BU6" s="988" t="s">
        <v>269</v>
      </c>
      <c r="BV6" s="990"/>
      <c r="BW6" s="1612">
        <v>4213768</v>
      </c>
      <c r="BX6" s="1610" t="s">
        <v>289</v>
      </c>
      <c r="BZ6" s="1198">
        <v>64237510</v>
      </c>
      <c r="CA6" s="988" t="s">
        <v>1380</v>
      </c>
    </row>
    <row r="7" spans="1:79" ht="11.25" customHeight="1">
      <c r="A7" s="994" t="s">
        <v>1381</v>
      </c>
      <c r="B7" s="995">
        <v>2005</v>
      </c>
      <c r="E7" s="996" t="s">
        <v>1382</v>
      </c>
      <c r="F7" s="1012"/>
      <c r="H7" s="997" t="s">
        <v>1383</v>
      </c>
      <c r="I7" s="996" t="s">
        <v>93</v>
      </c>
      <c r="J7" s="996" t="s">
        <v>1384</v>
      </c>
      <c r="N7" s="1015" t="s">
        <v>1385</v>
      </c>
      <c r="O7" s="996" t="s">
        <v>1386</v>
      </c>
      <c r="U7" s="999" t="s">
        <v>19</v>
      </c>
      <c r="V7" s="304" t="s">
        <v>93</v>
      </c>
      <c r="W7" s="1004"/>
      <c r="X7" s="995" t="s">
        <v>214</v>
      </c>
      <c r="Y7" s="995" t="s">
        <v>1347</v>
      </c>
      <c r="Z7" s="1010"/>
      <c r="AA7" s="1013"/>
      <c r="AH7" s="996" t="s">
        <v>1387</v>
      </c>
      <c r="AK7" s="996" t="s">
        <v>1388</v>
      </c>
      <c r="AM7" s="996" t="s">
        <v>1389</v>
      </c>
      <c r="AP7" s="1007" t="s">
        <v>214</v>
      </c>
      <c r="AQ7" s="1008" t="s">
        <v>214</v>
      </c>
      <c r="AU7" s="1037" t="s">
        <v>1390</v>
      </c>
      <c r="AW7" s="1037" t="s">
        <v>1391</v>
      </c>
      <c r="AX7" s="1037" t="s">
        <v>1391</v>
      </c>
      <c r="AZ7" s="987" t="s">
        <v>1392</v>
      </c>
      <c r="BB7" s="1037" t="s">
        <v>1393</v>
      </c>
      <c r="BC7" s="1037" t="s">
        <v>1356</v>
      </c>
      <c r="BE7" s="1037">
        <v>2005</v>
      </c>
      <c r="BF7" s="1037" t="s">
        <v>1394</v>
      </c>
      <c r="BH7" s="988" t="s">
        <v>1395</v>
      </c>
      <c r="BJ7" s="988" t="s">
        <v>1377</v>
      </c>
      <c r="BL7" s="988" t="s">
        <v>1377</v>
      </c>
      <c r="BN7" s="988" t="s">
        <v>1396</v>
      </c>
      <c r="BQ7" s="1198">
        <v>4213781</v>
      </c>
      <c r="BR7" s="988" t="s">
        <v>1280</v>
      </c>
      <c r="BS7" s="1346"/>
      <c r="BT7" s="1198">
        <v>64236873</v>
      </c>
      <c r="BU7" s="988" t="s">
        <v>274</v>
      </c>
      <c r="BV7" s="990"/>
      <c r="BW7" s="1612">
        <v>4213769</v>
      </c>
      <c r="BX7" s="1610" t="s">
        <v>1397</v>
      </c>
      <c r="BZ7" s="1198">
        <v>64237511</v>
      </c>
      <c r="CA7" s="988" t="s">
        <v>304</v>
      </c>
    </row>
    <row r="8" spans="1:79" ht="11.25" customHeight="1">
      <c r="A8" s="994" t="s">
        <v>1398</v>
      </c>
      <c r="B8" s="995">
        <v>2006</v>
      </c>
      <c r="E8" s="996" t="s">
        <v>1399</v>
      </c>
      <c r="F8" s="1012"/>
      <c r="H8" s="997" t="s">
        <v>1400</v>
      </c>
      <c r="I8" s="996" t="s">
        <v>94</v>
      </c>
      <c r="J8" s="996" t="s">
        <v>1401</v>
      </c>
      <c r="N8" s="1080" t="s">
        <v>1402</v>
      </c>
      <c r="O8" s="996" t="s">
        <v>1403</v>
      </c>
      <c r="V8" s="304" t="s">
        <v>94</v>
      </c>
      <c r="W8" s="1004"/>
      <c r="X8" s="995" t="s">
        <v>221</v>
      </c>
      <c r="Y8" s="995" t="s">
        <v>1347</v>
      </c>
      <c r="Z8" s="1010"/>
      <c r="AA8" s="1013"/>
      <c r="AK8" s="996" t="s">
        <v>1404</v>
      </c>
      <c r="AP8" s="1007" t="s">
        <v>221</v>
      </c>
      <c r="AQ8" s="1008" t="s">
        <v>221</v>
      </c>
      <c r="AU8" s="1037" t="s">
        <v>1405</v>
      </c>
      <c r="AW8" s="1037" t="s">
        <v>1406</v>
      </c>
      <c r="AX8" s="1037" t="s">
        <v>1406</v>
      </c>
      <c r="AZ8" s="1037" t="s">
        <v>1407</v>
      </c>
      <c r="BB8" s="1037" t="s">
        <v>1408</v>
      </c>
      <c r="BC8" s="1037" t="s">
        <v>1356</v>
      </c>
      <c r="BE8" s="1037">
        <v>2006</v>
      </c>
      <c r="BF8" s="1037" t="s">
        <v>1409</v>
      </c>
      <c r="BH8" s="988" t="s">
        <v>1410</v>
      </c>
      <c r="BJ8" s="988" t="s">
        <v>1411</v>
      </c>
      <c r="BL8" s="988" t="s">
        <v>1411</v>
      </c>
      <c r="BN8" s="988" t="s">
        <v>1412</v>
      </c>
      <c r="BQ8" s="1198">
        <v>4213776</v>
      </c>
      <c r="BR8" s="988" t="s">
        <v>190</v>
      </c>
      <c r="BS8" s="1346"/>
      <c r="BT8" s="1198">
        <v>64236874</v>
      </c>
      <c r="BU8" s="1212" t="s">
        <v>1413</v>
      </c>
      <c r="BV8" s="990"/>
      <c r="BW8" s="1612">
        <v>4213770</v>
      </c>
      <c r="BX8" s="1613" t="s">
        <v>1414</v>
      </c>
      <c r="BZ8" s="1198">
        <v>64237512</v>
      </c>
      <c r="CA8" s="988" t="s">
        <v>299</v>
      </c>
    </row>
    <row r="9" spans="1:79" ht="11.25" customHeight="1">
      <c r="A9" s="994" t="s">
        <v>1415</v>
      </c>
      <c r="B9" s="995">
        <v>2007</v>
      </c>
      <c r="E9" s="996" t="s">
        <v>1416</v>
      </c>
      <c r="F9" s="1012"/>
      <c r="G9" s="987" t="s">
        <v>1417</v>
      </c>
      <c r="H9" s="987" t="s">
        <v>1418</v>
      </c>
      <c r="I9" s="996" t="s">
        <v>126</v>
      </c>
      <c r="O9" s="996" t="s">
        <v>1419</v>
      </c>
      <c r="V9" s="304" t="s">
        <v>126</v>
      </c>
      <c r="W9" s="1004"/>
      <c r="X9" s="995" t="s">
        <v>227</v>
      </c>
      <c r="Y9" s="995" t="s">
        <v>1257</v>
      </c>
      <c r="Z9" s="1010">
        <v>1</v>
      </c>
      <c r="AA9" s="1013"/>
      <c r="AK9" s="996" t="s">
        <v>1420</v>
      </c>
      <c r="AP9" s="1007" t="s">
        <v>1421</v>
      </c>
      <c r="AQ9" s="1008" t="s">
        <v>1421</v>
      </c>
      <c r="AW9" s="1037" t="s">
        <v>1422</v>
      </c>
      <c r="AX9" s="1037" t="s">
        <v>1422</v>
      </c>
      <c r="AZ9" s="1037" t="s">
        <v>1423</v>
      </c>
      <c r="BB9" s="1037" t="s">
        <v>1424</v>
      </c>
      <c r="BC9" s="1037" t="s">
        <v>1356</v>
      </c>
      <c r="BE9" s="1037">
        <v>2007</v>
      </c>
      <c r="BF9" s="1037" t="s">
        <v>1425</v>
      </c>
      <c r="BH9" s="988" t="s">
        <v>1426</v>
      </c>
      <c r="BJ9" s="988" t="s">
        <v>1427</v>
      </c>
      <c r="BL9" s="988" t="s">
        <v>1427</v>
      </c>
      <c r="BN9" s="988" t="s">
        <v>1428</v>
      </c>
      <c r="BQ9" s="1198">
        <v>4213777</v>
      </c>
      <c r="BR9" s="988" t="s">
        <v>202</v>
      </c>
      <c r="BS9" s="1346"/>
      <c r="BT9" s="1198">
        <v>64236875</v>
      </c>
      <c r="BU9" s="988" t="s">
        <v>279</v>
      </c>
      <c r="BV9" s="990"/>
      <c r="BW9" s="1607"/>
      <c r="BX9" s="1607"/>
    </row>
    <row r="10" spans="1:79" ht="11.25" customHeight="1">
      <c r="A10" s="994" t="s">
        <v>1429</v>
      </c>
      <c r="B10" s="995">
        <v>2008</v>
      </c>
      <c r="E10" s="996" t="s">
        <v>1430</v>
      </c>
      <c r="F10" s="1012"/>
      <c r="G10" s="996" t="s">
        <v>1431</v>
      </c>
      <c r="H10" s="996" t="s">
        <v>1432</v>
      </c>
      <c r="I10" s="996" t="s">
        <v>107</v>
      </c>
      <c r="J10" s="987" t="s">
        <v>1433</v>
      </c>
      <c r="K10" s="987" t="s">
        <v>1434</v>
      </c>
      <c r="O10" s="996" t="s">
        <v>1435</v>
      </c>
      <c r="V10" s="305" t="s">
        <v>107</v>
      </c>
      <c r="W10" s="1016"/>
      <c r="X10" s="1016" t="s">
        <v>1436</v>
      </c>
      <c r="Y10" s="1017" t="s">
        <v>1437</v>
      </c>
      <c r="Z10" s="1010"/>
      <c r="AP10" s="1007" t="s">
        <v>1436</v>
      </c>
      <c r="AQ10" s="1008" t="s">
        <v>1436</v>
      </c>
      <c r="AW10" s="1037" t="s">
        <v>1438</v>
      </c>
      <c r="AX10" s="1037" t="s">
        <v>1438</v>
      </c>
      <c r="AZ10" s="1037" t="s">
        <v>1439</v>
      </c>
      <c r="BB10" s="1037" t="s">
        <v>1440</v>
      </c>
      <c r="BC10" s="1037" t="s">
        <v>1356</v>
      </c>
      <c r="BE10" s="1037">
        <v>2008</v>
      </c>
      <c r="BF10" s="1037" t="s">
        <v>1441</v>
      </c>
      <c r="BH10" s="988" t="s">
        <v>1442</v>
      </c>
      <c r="BJ10" s="988" t="s">
        <v>1443</v>
      </c>
      <c r="BL10" s="988" t="s">
        <v>1443</v>
      </c>
      <c r="BN10" s="988" t="s">
        <v>1444</v>
      </c>
      <c r="BQ10" s="1198">
        <v>4213778</v>
      </c>
      <c r="BR10" s="988" t="s">
        <v>214</v>
      </c>
      <c r="BS10" s="1346"/>
      <c r="BT10" s="1198">
        <v>64236876</v>
      </c>
      <c r="BU10" s="988" t="s">
        <v>259</v>
      </c>
      <c r="BV10" s="990"/>
      <c r="BW10" s="1607"/>
      <c r="BX10" s="1607"/>
    </row>
    <row r="11" spans="1:79" ht="11.25" customHeight="1">
      <c r="A11" s="994" t="s">
        <v>1445</v>
      </c>
      <c r="B11" s="995">
        <v>2009</v>
      </c>
      <c r="E11" s="996" t="s">
        <v>1446</v>
      </c>
      <c r="F11" s="1012"/>
      <c r="G11" s="996" t="s">
        <v>1447</v>
      </c>
      <c r="H11" s="996" t="s">
        <v>1448</v>
      </c>
      <c r="I11" s="996" t="s">
        <v>162</v>
      </c>
      <c r="J11" s="997" t="s">
        <v>1449</v>
      </c>
      <c r="K11" s="1018" t="s">
        <v>1450</v>
      </c>
      <c r="O11" s="997" t="s">
        <v>1451</v>
      </c>
      <c r="V11" s="304" t="s">
        <v>162</v>
      </c>
      <c r="W11" s="210"/>
      <c r="X11" s="1004" t="s">
        <v>1421</v>
      </c>
      <c r="Y11" s="995" t="s">
        <v>1452</v>
      </c>
      <c r="Z11" s="1010"/>
      <c r="AP11" s="1007" t="s">
        <v>227</v>
      </c>
      <c r="AQ11" s="1009" t="s">
        <v>227</v>
      </c>
      <c r="AW11" s="1037" t="s">
        <v>1453</v>
      </c>
      <c r="AX11" s="1037" t="s">
        <v>1453</v>
      </c>
      <c r="AZ11" s="1037" t="s">
        <v>1454</v>
      </c>
      <c r="BB11" s="1037" t="s">
        <v>1455</v>
      </c>
      <c r="BC11" s="1037" t="s">
        <v>1356</v>
      </c>
      <c r="BE11" s="1037">
        <v>2009</v>
      </c>
      <c r="BF11" s="1037" t="s">
        <v>1456</v>
      </c>
      <c r="BH11" s="988" t="s">
        <v>1457</v>
      </c>
      <c r="BJ11" s="988" t="s">
        <v>1426</v>
      </c>
      <c r="BL11" s="988" t="s">
        <v>1426</v>
      </c>
      <c r="BN11" s="988" t="s">
        <v>1458</v>
      </c>
      <c r="BQ11" s="1198">
        <v>4213780</v>
      </c>
      <c r="BR11" s="988" t="s">
        <v>221</v>
      </c>
      <c r="BS11" s="1346"/>
      <c r="BW11" s="1607"/>
      <c r="BX11" s="1607"/>
    </row>
    <row r="12" spans="1:79" ht="11.25" customHeight="1">
      <c r="A12" s="994" t="s">
        <v>1459</v>
      </c>
      <c r="B12" s="995">
        <v>2010</v>
      </c>
      <c r="E12" s="996" t="s">
        <v>1460</v>
      </c>
      <c r="F12" s="1012"/>
      <c r="G12" s="996" t="s">
        <v>1448</v>
      </c>
      <c r="I12" s="996" t="s">
        <v>163</v>
      </c>
      <c r="J12" s="997" t="s">
        <v>1461</v>
      </c>
      <c r="K12" s="1018" t="s">
        <v>1462</v>
      </c>
      <c r="O12" s="997" t="s">
        <v>481</v>
      </c>
      <c r="V12" s="304" t="s">
        <v>163</v>
      </c>
      <c r="W12" s="1009"/>
      <c r="X12" s="1004" t="s">
        <v>1463</v>
      </c>
      <c r="Y12" s="995" t="s">
        <v>1257</v>
      </c>
      <c r="AP12" s="1007"/>
      <c r="AW12" s="1037" t="s">
        <v>162</v>
      </c>
      <c r="AX12" s="1037" t="s">
        <v>162</v>
      </c>
      <c r="AZ12" s="1037" t="s">
        <v>1464</v>
      </c>
      <c r="BB12" s="1037" t="s">
        <v>1465</v>
      </c>
      <c r="BC12" s="1037" t="s">
        <v>1356</v>
      </c>
      <c r="BE12" s="1037">
        <v>2010</v>
      </c>
      <c r="BF12" s="1037" t="s">
        <v>1466</v>
      </c>
      <c r="BH12" s="988" t="s">
        <v>1467</v>
      </c>
      <c r="BJ12" s="988" t="s">
        <v>1468</v>
      </c>
      <c r="BL12" s="988" t="s">
        <v>1468</v>
      </c>
      <c r="BN12" s="988" t="s">
        <v>1469</v>
      </c>
      <c r="BQ12" s="1198">
        <v>4213779</v>
      </c>
      <c r="BR12" s="988" t="s">
        <v>1421</v>
      </c>
      <c r="BS12" s="1346"/>
      <c r="BT12" s="990"/>
      <c r="BU12" s="990"/>
      <c r="BV12" s="990"/>
      <c r="BW12" s="1607"/>
      <c r="BX12" s="1607"/>
    </row>
    <row r="13" spans="1:79" ht="11.25" customHeight="1">
      <c r="A13" s="994" t="s">
        <v>1470</v>
      </c>
      <c r="B13" s="995">
        <v>2011</v>
      </c>
      <c r="E13" s="996" t="s">
        <v>1471</v>
      </c>
      <c r="F13" s="1012"/>
      <c r="I13" s="996" t="s">
        <v>164</v>
      </c>
      <c r="K13" s="1018" t="s">
        <v>1420</v>
      </c>
      <c r="V13" s="304" t="s">
        <v>164</v>
      </c>
      <c r="W13" s="1009"/>
      <c r="X13" s="1009"/>
      <c r="Y13" s="1009"/>
      <c r="AW13" s="1037" t="s">
        <v>163</v>
      </c>
      <c r="AX13" s="1037" t="s">
        <v>163</v>
      </c>
      <c r="BB13" s="1037" t="s">
        <v>1472</v>
      </c>
      <c r="BC13" s="1037" t="s">
        <v>1473</v>
      </c>
      <c r="BE13" s="1037">
        <v>2011</v>
      </c>
      <c r="BF13" s="1037" t="s">
        <v>1474</v>
      </c>
      <c r="BH13" s="988" t="s">
        <v>1475</v>
      </c>
      <c r="BJ13" s="988" t="s">
        <v>1457</v>
      </c>
      <c r="BL13" s="988" t="s">
        <v>1457</v>
      </c>
      <c r="BN13" s="988" t="s">
        <v>1476</v>
      </c>
      <c r="BQ13" s="1198">
        <v>4213783</v>
      </c>
      <c r="BR13" s="988" t="s">
        <v>1436</v>
      </c>
      <c r="BS13" s="1346"/>
      <c r="BT13" s="990"/>
      <c r="BU13" s="990"/>
      <c r="BV13" s="990"/>
      <c r="BW13" s="1611"/>
      <c r="BX13" s="1607"/>
    </row>
    <row r="14" spans="1:79" ht="11.25" customHeight="1">
      <c r="A14" s="994" t="s">
        <v>1477</v>
      </c>
      <c r="B14" s="995">
        <v>2012</v>
      </c>
      <c r="I14" s="996" t="s">
        <v>165</v>
      </c>
      <c r="J14" s="987" t="s">
        <v>1478</v>
      </c>
      <c r="N14" s="987" t="s">
        <v>1479</v>
      </c>
      <c r="V14" s="1003">
        <v>13</v>
      </c>
      <c r="W14" s="1004"/>
      <c r="X14" s="1004" t="s">
        <v>1287</v>
      </c>
      <c r="Y14" s="995" t="s">
        <v>1257</v>
      </c>
      <c r="AW14" s="1037" t="s">
        <v>164</v>
      </c>
      <c r="AX14" s="1037" t="s">
        <v>164</v>
      </c>
      <c r="AZ14" s="987" t="s">
        <v>1480</v>
      </c>
      <c r="BB14" s="1037" t="s">
        <v>1481</v>
      </c>
      <c r="BC14" s="1037" t="s">
        <v>1473</v>
      </c>
      <c r="BE14" s="1037">
        <v>2012</v>
      </c>
      <c r="BH14" s="988" t="s">
        <v>1396</v>
      </c>
      <c r="BJ14" s="1134" t="s">
        <v>1482</v>
      </c>
      <c r="BL14" s="1134" t="s">
        <v>1482</v>
      </c>
      <c r="BN14" s="988" t="s">
        <v>1483</v>
      </c>
      <c r="BQ14" s="1198">
        <v>4213782</v>
      </c>
      <c r="BR14" s="988" t="s">
        <v>227</v>
      </c>
      <c r="BS14" s="1346"/>
      <c r="BT14" s="990"/>
      <c r="BU14" s="990"/>
      <c r="BV14" s="990"/>
      <c r="BW14" s="1611"/>
      <c r="BX14" s="1607"/>
    </row>
    <row r="15" spans="1:79" ht="19.5" customHeight="1">
      <c r="A15" s="994" t="s">
        <v>1484</v>
      </c>
      <c r="B15" s="995">
        <v>2013</v>
      </c>
      <c r="E15" s="1615" t="s">
        <v>1485</v>
      </c>
      <c r="G15" s="987" t="s">
        <v>1486</v>
      </c>
      <c r="H15" s="987" t="s">
        <v>1487</v>
      </c>
      <c r="I15" s="998" t="s">
        <v>166</v>
      </c>
      <c r="J15" s="1009" t="s">
        <v>616</v>
      </c>
      <c r="N15" s="1075" t="s">
        <v>1488</v>
      </c>
      <c r="X15" s="1007"/>
      <c r="AW15" s="1037" t="s">
        <v>165</v>
      </c>
      <c r="AX15" s="1037" t="s">
        <v>165</v>
      </c>
      <c r="AZ15" s="1037" t="s">
        <v>1407</v>
      </c>
      <c r="BB15" s="1037" t="s">
        <v>1489</v>
      </c>
      <c r="BC15" s="1037" t="s">
        <v>1473</v>
      </c>
      <c r="BE15" s="1037">
        <v>2013</v>
      </c>
      <c r="BH15" s="988" t="s">
        <v>1412</v>
      </c>
      <c r="BJ15" s="1134" t="s">
        <v>1490</v>
      </c>
      <c r="BL15" s="1134" t="s">
        <v>1490</v>
      </c>
      <c r="BN15" s="988" t="s">
        <v>1491</v>
      </c>
      <c r="BR15" s="990"/>
      <c r="BS15" s="1348"/>
      <c r="BT15" s="990"/>
      <c r="BU15" s="990"/>
      <c r="BV15" s="990"/>
      <c r="BW15" s="1611"/>
      <c r="BX15" s="1607"/>
    </row>
    <row r="16" spans="1:79" ht="21" customHeight="1">
      <c r="A16" s="1784" t="s">
        <v>1492</v>
      </c>
      <c r="B16" s="995">
        <v>2014</v>
      </c>
      <c r="E16" s="1616" t="s">
        <v>1493</v>
      </c>
      <c r="G16" s="996" t="s">
        <v>1494</v>
      </c>
      <c r="H16" s="996" t="s">
        <v>1495</v>
      </c>
      <c r="I16" s="998" t="s">
        <v>112</v>
      </c>
      <c r="J16" s="1009" t="s">
        <v>589</v>
      </c>
      <c r="N16" s="1075" t="s">
        <v>1496</v>
      </c>
      <c r="AW16" s="1037" t="s">
        <v>166</v>
      </c>
      <c r="AX16" s="1037" t="s">
        <v>166</v>
      </c>
      <c r="AZ16" s="1037" t="s">
        <v>1423</v>
      </c>
      <c r="BB16" s="1037" t="s">
        <v>1497</v>
      </c>
      <c r="BC16" s="1037" t="s">
        <v>1473</v>
      </c>
      <c r="BE16" s="1037">
        <v>2014</v>
      </c>
      <c r="BH16" s="988" t="s">
        <v>1428</v>
      </c>
      <c r="BJ16" s="1134" t="s">
        <v>1498</v>
      </c>
      <c r="BL16" s="1134" t="s">
        <v>1498</v>
      </c>
      <c r="BN16" s="988" t="s">
        <v>1499</v>
      </c>
      <c r="BR16" s="990"/>
      <c r="BS16" s="1348"/>
      <c r="BT16" s="990"/>
      <c r="BU16" s="990"/>
      <c r="BV16" s="990"/>
      <c r="BW16" s="1611"/>
      <c r="BX16" s="1607"/>
    </row>
    <row r="17" spans="1:82" ht="21" customHeight="1">
      <c r="A17" s="994" t="s">
        <v>1500</v>
      </c>
      <c r="B17" s="995">
        <v>2015</v>
      </c>
      <c r="G17" s="996" t="s">
        <v>1448</v>
      </c>
      <c r="H17" s="996" t="s">
        <v>1448</v>
      </c>
      <c r="I17" s="996" t="s">
        <v>1501</v>
      </c>
      <c r="N17" s="1075" t="s">
        <v>1502</v>
      </c>
      <c r="X17" s="1007"/>
      <c r="AW17" s="1037" t="s">
        <v>112</v>
      </c>
      <c r="AX17" s="1037" t="s">
        <v>112</v>
      </c>
      <c r="AZ17" s="1037" t="s">
        <v>1503</v>
      </c>
      <c r="BB17" s="1037" t="s">
        <v>1504</v>
      </c>
      <c r="BC17" s="1037" t="s">
        <v>1356</v>
      </c>
      <c r="BE17" s="1037">
        <v>2015</v>
      </c>
      <c r="BH17" s="988" t="s">
        <v>1444</v>
      </c>
      <c r="BJ17" s="1134" t="s">
        <v>1505</v>
      </c>
      <c r="BL17" s="1134" t="s">
        <v>1505</v>
      </c>
      <c r="BN17" s="988" t="s">
        <v>1506</v>
      </c>
      <c r="BR17" s="987" t="s">
        <v>1298</v>
      </c>
      <c r="BS17" s="1345"/>
      <c r="BU17" s="987" t="s">
        <v>1507</v>
      </c>
      <c r="BV17" s="990"/>
      <c r="BW17" s="1607"/>
      <c r="BX17" s="1609" t="s">
        <v>1508</v>
      </c>
      <c r="CA17" s="987" t="s">
        <v>1509</v>
      </c>
      <c r="CD17" s="987" t="s">
        <v>1510</v>
      </c>
    </row>
    <row r="18" spans="1:82" ht="21" customHeight="1">
      <c r="A18" s="994" t="s">
        <v>1511</v>
      </c>
      <c r="B18" s="995">
        <v>2016</v>
      </c>
      <c r="E18" s="1916" t="s">
        <v>1512</v>
      </c>
      <c r="I18" s="996" t="s">
        <v>1513</v>
      </c>
      <c r="N18" s="1075" t="s">
        <v>1514</v>
      </c>
      <c r="X18" s="1007"/>
      <c r="AW18" s="1037" t="s">
        <v>1501</v>
      </c>
      <c r="AX18" s="1037" t="s">
        <v>1501</v>
      </c>
      <c r="BB18" s="1037" t="s">
        <v>1515</v>
      </c>
      <c r="BC18" s="1037" t="s">
        <v>1356</v>
      </c>
      <c r="BE18" s="1037">
        <v>2016</v>
      </c>
      <c r="BH18" s="988" t="s">
        <v>1458</v>
      </c>
      <c r="BJ18" s="1134" t="s">
        <v>1516</v>
      </c>
      <c r="BL18" s="1134" t="s">
        <v>1516</v>
      </c>
      <c r="BN18" s="988" t="s">
        <v>1517</v>
      </c>
      <c r="BQ18" s="1349" t="s">
        <v>1328</v>
      </c>
      <c r="BR18" s="1076" t="s">
        <v>1329</v>
      </c>
      <c r="BS18" s="209"/>
      <c r="BT18" s="1349" t="s">
        <v>1518</v>
      </c>
      <c r="BU18" s="1076" t="s">
        <v>1519</v>
      </c>
      <c r="BV18" s="990"/>
      <c r="BW18" s="1614" t="s">
        <v>1520</v>
      </c>
      <c r="BX18" s="1608" t="s">
        <v>1521</v>
      </c>
      <c r="BZ18" s="1349" t="s">
        <v>1522</v>
      </c>
      <c r="CA18" s="1076" t="s">
        <v>1523</v>
      </c>
      <c r="CC18" s="1349" t="s">
        <v>1524</v>
      </c>
      <c r="CD18" s="1076" t="s">
        <v>1525</v>
      </c>
    </row>
    <row r="19" spans="1:82" ht="21" customHeight="1">
      <c r="A19" s="1784" t="s">
        <v>1526</v>
      </c>
      <c r="B19" s="995">
        <v>2017</v>
      </c>
      <c r="E19" s="994" t="s">
        <v>173</v>
      </c>
      <c r="I19" s="996" t="s">
        <v>1527</v>
      </c>
      <c r="N19" s="1075" t="s">
        <v>1528</v>
      </c>
      <c r="X19" s="1007"/>
      <c r="AW19" s="1037" t="s">
        <v>1513</v>
      </c>
      <c r="AX19" s="1037" t="s">
        <v>1513</v>
      </c>
      <c r="AZ19" s="987" t="s">
        <v>1529</v>
      </c>
      <c r="BB19" s="1037" t="s">
        <v>1530</v>
      </c>
      <c r="BC19" s="1037" t="s">
        <v>1356</v>
      </c>
      <c r="BE19" s="1037">
        <v>2017</v>
      </c>
      <c r="BH19" s="988" t="s">
        <v>1531</v>
      </c>
      <c r="BJ19" s="1134" t="s">
        <v>1532</v>
      </c>
      <c r="BL19" s="1134" t="s">
        <v>1532</v>
      </c>
      <c r="BQ19" s="1198">
        <v>4190064</v>
      </c>
      <c r="BR19" s="988" t="s">
        <v>1533</v>
      </c>
      <c r="BS19" s="1346"/>
      <c r="BT19" s="1198">
        <v>4189671</v>
      </c>
      <c r="BU19" s="988" t="s">
        <v>1534</v>
      </c>
      <c r="BV19" s="990"/>
      <c r="BW19" s="1612">
        <v>4189706</v>
      </c>
      <c r="BX19" s="1610" t="s">
        <v>1535</v>
      </c>
      <c r="BZ19" s="1198">
        <v>4189714</v>
      </c>
      <c r="CA19" s="988" t="s">
        <v>1536</v>
      </c>
      <c r="CC19" s="1198">
        <v>4189708</v>
      </c>
      <c r="CD19" s="988" t="s">
        <v>1537</v>
      </c>
    </row>
    <row r="20" spans="1:82" ht="21" customHeight="1">
      <c r="A20" s="994" t="s">
        <v>1538</v>
      </c>
      <c r="B20" s="995">
        <v>2018</v>
      </c>
      <c r="E20" s="994" t="s">
        <v>1287</v>
      </c>
      <c r="I20" s="996" t="s">
        <v>1539</v>
      </c>
      <c r="N20" s="1075" t="s">
        <v>1540</v>
      </c>
      <c r="AW20" s="1037" t="s">
        <v>1527</v>
      </c>
      <c r="AX20" s="1037" t="s">
        <v>1527</v>
      </c>
      <c r="AZ20" s="1037" t="s">
        <v>1541</v>
      </c>
      <c r="BB20" s="1037" t="s">
        <v>1542</v>
      </c>
      <c r="BC20" s="1037" t="s">
        <v>1473</v>
      </c>
      <c r="BE20" s="1037">
        <v>2018</v>
      </c>
      <c r="BH20" s="988" t="s">
        <v>1469</v>
      </c>
      <c r="BJ20" s="988" t="s">
        <v>1396</v>
      </c>
      <c r="BL20" s="988" t="s">
        <v>1396</v>
      </c>
      <c r="BQ20" s="1198">
        <v>4190065</v>
      </c>
      <c r="BR20" s="988" t="s">
        <v>1543</v>
      </c>
      <c r="BS20" s="1346"/>
      <c r="BT20" s="1198">
        <v>4189672</v>
      </c>
      <c r="BU20" s="988" t="s">
        <v>1544</v>
      </c>
      <c r="BV20" s="990"/>
      <c r="BW20" s="1612">
        <v>4189705</v>
      </c>
      <c r="BX20" s="1610" t="s">
        <v>1545</v>
      </c>
      <c r="BZ20" s="1198">
        <v>4189713</v>
      </c>
      <c r="CA20" s="988" t="s">
        <v>1545</v>
      </c>
      <c r="CC20" s="1198">
        <v>4189709</v>
      </c>
      <c r="CD20" s="988" t="s">
        <v>1546</v>
      </c>
    </row>
    <row r="21" spans="1:82" ht="21" customHeight="1">
      <c r="A21" s="994" t="s">
        <v>1547</v>
      </c>
      <c r="B21" s="995">
        <v>2019</v>
      </c>
      <c r="I21" s="996" t="s">
        <v>1548</v>
      </c>
      <c r="N21" s="1075" t="s">
        <v>1549</v>
      </c>
      <c r="AW21" s="1037" t="s">
        <v>1539</v>
      </c>
      <c r="AX21" s="1037" t="s">
        <v>1539</v>
      </c>
      <c r="AZ21" s="1037" t="s">
        <v>1550</v>
      </c>
      <c r="BB21" s="1037" t="s">
        <v>1551</v>
      </c>
      <c r="BC21" s="1037" t="s">
        <v>1356</v>
      </c>
      <c r="BE21" s="1037">
        <v>2019</v>
      </c>
      <c r="BH21" s="988" t="s">
        <v>1476</v>
      </c>
      <c r="BJ21" s="988" t="s">
        <v>1412</v>
      </c>
      <c r="BL21" s="988" t="s">
        <v>1412</v>
      </c>
      <c r="BQ21" s="1198">
        <v>4190066</v>
      </c>
      <c r="BR21" s="988" t="s">
        <v>1552</v>
      </c>
      <c r="BS21" s="1346"/>
      <c r="BT21" s="1198">
        <v>4189673</v>
      </c>
      <c r="BU21" s="988" t="s">
        <v>1553</v>
      </c>
      <c r="BV21" s="990"/>
      <c r="BW21" s="1612">
        <v>4189707</v>
      </c>
      <c r="BX21" s="1610" t="s">
        <v>1554</v>
      </c>
      <c r="BZ21" s="1198">
        <v>4189712</v>
      </c>
      <c r="CA21" s="988" t="s">
        <v>1555</v>
      </c>
      <c r="CC21" s="1198">
        <v>4189710</v>
      </c>
      <c r="CD21" s="988" t="s">
        <v>1556</v>
      </c>
    </row>
    <row r="22" spans="1:82" ht="21" customHeight="1">
      <c r="A22" s="994" t="s">
        <v>1557</v>
      </c>
      <c r="B22" s="995">
        <v>2020</v>
      </c>
      <c r="N22" s="1075" t="s">
        <v>1558</v>
      </c>
      <c r="AW22" s="1037" t="s">
        <v>1548</v>
      </c>
      <c r="AX22" s="1037" t="s">
        <v>1548</v>
      </c>
      <c r="AZ22" s="1037" t="s">
        <v>1559</v>
      </c>
      <c r="BB22" s="1037" t="s">
        <v>1560</v>
      </c>
      <c r="BC22" s="1037" t="s">
        <v>1356</v>
      </c>
      <c r="BE22" s="1037">
        <v>2020</v>
      </c>
      <c r="BH22" s="988" t="s">
        <v>1483</v>
      </c>
      <c r="BJ22" s="988" t="s">
        <v>1428</v>
      </c>
      <c r="BL22" s="988" t="s">
        <v>1428</v>
      </c>
      <c r="BQ22" s="1198">
        <v>4190067</v>
      </c>
      <c r="BR22" s="988" t="s">
        <v>1561</v>
      </c>
      <c r="BS22" s="1346"/>
      <c r="BT22" s="1198">
        <v>4189674</v>
      </c>
      <c r="BU22" s="988" t="s">
        <v>1562</v>
      </c>
      <c r="BV22" s="990"/>
      <c r="BW22" s="990"/>
      <c r="CC22" s="1198">
        <v>4189711</v>
      </c>
      <c r="CD22" s="988" t="s">
        <v>328</v>
      </c>
    </row>
    <row r="23" spans="1:82" ht="21" customHeight="1">
      <c r="A23" s="994" t="s">
        <v>1563</v>
      </c>
      <c r="B23" s="995">
        <v>2021</v>
      </c>
      <c r="AW23" s="1037" t="s">
        <v>1564</v>
      </c>
      <c r="AX23" s="1037" t="s">
        <v>1564</v>
      </c>
      <c r="AZ23" s="1037" t="s">
        <v>1565</v>
      </c>
      <c r="BB23" s="1037" t="s">
        <v>1566</v>
      </c>
      <c r="BC23" s="1037" t="s">
        <v>1267</v>
      </c>
      <c r="BE23" s="1037">
        <v>2021</v>
      </c>
      <c r="BH23" s="988" t="s">
        <v>1491</v>
      </c>
      <c r="BJ23" s="988" t="s">
        <v>1444</v>
      </c>
      <c r="BL23" s="988" t="s">
        <v>1444</v>
      </c>
      <c r="BQ23" s="1198">
        <v>4190068</v>
      </c>
      <c r="BR23" s="988" t="s">
        <v>1567</v>
      </c>
      <c r="BS23" s="1346"/>
      <c r="BT23" s="1198">
        <v>4189675</v>
      </c>
      <c r="BU23" s="988" t="s">
        <v>1568</v>
      </c>
      <c r="BV23" s="990"/>
      <c r="BW23" s="990"/>
      <c r="CC23" s="1198">
        <v>5110778</v>
      </c>
      <c r="CD23" s="988" t="s">
        <v>1569</v>
      </c>
    </row>
    <row r="24" spans="1:82" ht="21" customHeight="1">
      <c r="A24" s="994" t="s">
        <v>1570</v>
      </c>
      <c r="B24" s="995">
        <v>2022</v>
      </c>
      <c r="AW24" s="1037" t="s">
        <v>1571</v>
      </c>
      <c r="AX24" s="1037" t="s">
        <v>1571</v>
      </c>
      <c r="AZ24" s="1037" t="s">
        <v>1572</v>
      </c>
      <c r="BB24" s="1037" t="s">
        <v>1573</v>
      </c>
      <c r="BC24" s="1037" t="s">
        <v>1574</v>
      </c>
      <c r="BE24" s="1037">
        <v>2022</v>
      </c>
      <c r="BH24" s="988" t="s">
        <v>1499</v>
      </c>
      <c r="BJ24" s="988" t="s">
        <v>1458</v>
      </c>
      <c r="BL24" s="988" t="s">
        <v>1458</v>
      </c>
      <c r="BQ24" s="1198">
        <v>4190069</v>
      </c>
      <c r="BR24" s="988" t="s">
        <v>1575</v>
      </c>
      <c r="BS24" s="1346"/>
      <c r="BT24" s="1198">
        <v>4189676</v>
      </c>
      <c r="BU24" s="988" t="s">
        <v>1576</v>
      </c>
      <c r="BV24" s="990"/>
      <c r="BW24" s="990"/>
      <c r="CC24" s="1198">
        <v>25575374</v>
      </c>
      <c r="CD24" s="988" t="s">
        <v>1577</v>
      </c>
    </row>
    <row r="25" spans="1:82" ht="11.25" customHeight="1">
      <c r="A25" s="994" t="s">
        <v>16</v>
      </c>
      <c r="B25" s="995">
        <v>2023</v>
      </c>
      <c r="AW25" s="1037" t="s">
        <v>1578</v>
      </c>
      <c r="AX25" s="1037" t="s">
        <v>1578</v>
      </c>
      <c r="AZ25" s="1037" t="s">
        <v>1579</v>
      </c>
      <c r="BB25" s="1037" t="s">
        <v>1580</v>
      </c>
      <c r="BC25" s="1037" t="s">
        <v>1574</v>
      </c>
      <c r="BE25" s="1037">
        <v>2023</v>
      </c>
      <c r="BH25" s="988" t="s">
        <v>1506</v>
      </c>
      <c r="BJ25" s="988" t="s">
        <v>1531</v>
      </c>
      <c r="BL25" s="988" t="s">
        <v>1531</v>
      </c>
      <c r="BQ25" s="1198">
        <v>4190070</v>
      </c>
      <c r="BR25" s="988" t="s">
        <v>1581</v>
      </c>
      <c r="BS25" s="1346"/>
      <c r="BT25" s="1198">
        <v>4189677</v>
      </c>
      <c r="BU25" s="988" t="s">
        <v>1582</v>
      </c>
      <c r="BV25" s="990"/>
      <c r="BW25" s="990"/>
    </row>
    <row r="26" spans="1:82" ht="11.25" customHeight="1">
      <c r="A26" s="994" t="s">
        <v>1583</v>
      </c>
      <c r="B26" s="995">
        <v>2024</v>
      </c>
      <c r="J26" s="1647" t="s">
        <v>1584</v>
      </c>
      <c r="AX26" s="1037" t="s">
        <v>1585</v>
      </c>
      <c r="AZ26" s="1037" t="s">
        <v>1451</v>
      </c>
      <c r="BB26" s="1037" t="s">
        <v>1586</v>
      </c>
      <c r="BC26" s="1037" t="s">
        <v>1574</v>
      </c>
      <c r="BE26" s="1037">
        <v>2024</v>
      </c>
      <c r="BH26" s="988" t="s">
        <v>1517</v>
      </c>
      <c r="BJ26" s="988" t="s">
        <v>1469</v>
      </c>
      <c r="BL26" s="988" t="s">
        <v>1469</v>
      </c>
      <c r="BQ26" s="1198">
        <v>4190071</v>
      </c>
      <c r="BR26" s="988" t="s">
        <v>1587</v>
      </c>
      <c r="BS26" s="1346"/>
      <c r="BV26" s="990"/>
      <c r="BW26" s="990"/>
    </row>
    <row r="27" spans="1:82" ht="11.25" customHeight="1">
      <c r="A27" s="994" t="s">
        <v>1588</v>
      </c>
      <c r="B27" s="995">
        <v>2025</v>
      </c>
      <c r="J27" s="111" t="s">
        <v>105</v>
      </c>
      <c r="AX27" s="1037" t="s">
        <v>1589</v>
      </c>
      <c r="BB27" s="1037" t="s">
        <v>1590</v>
      </c>
      <c r="BC27" s="1037" t="s">
        <v>1574</v>
      </c>
      <c r="BE27" s="1037">
        <v>2025</v>
      </c>
      <c r="BH27" s="990" t="s">
        <v>28</v>
      </c>
      <c r="BJ27" s="988" t="s">
        <v>1476</v>
      </c>
      <c r="BL27" s="988" t="s">
        <v>1476</v>
      </c>
      <c r="BN27" s="990" t="s">
        <v>28</v>
      </c>
      <c r="BQ27" s="1198">
        <v>4190072</v>
      </c>
      <c r="BR27" s="988" t="s">
        <v>1591</v>
      </c>
      <c r="BS27" s="1346"/>
      <c r="BV27" s="990"/>
      <c r="BW27" s="990"/>
    </row>
    <row r="28" spans="1:82" ht="11.25" customHeight="1">
      <c r="A28" s="994" t="s">
        <v>1592</v>
      </c>
      <c r="D28" s="1019"/>
      <c r="E28" s="1020"/>
      <c r="F28" s="1020"/>
      <c r="H28" s="1021" t="s">
        <v>1593</v>
      </c>
      <c r="AX28" s="1037" t="s">
        <v>1594</v>
      </c>
      <c r="AZ28" s="987" t="s">
        <v>1595</v>
      </c>
      <c r="BB28" s="1037" t="s">
        <v>1596</v>
      </c>
      <c r="BC28" s="1037" t="s">
        <v>1597</v>
      </c>
      <c r="BE28" s="1037">
        <v>2026</v>
      </c>
      <c r="BH28" s="990" t="s">
        <v>28</v>
      </c>
      <c r="BJ28" s="988" t="s">
        <v>1483</v>
      </c>
      <c r="BL28" s="988" t="s">
        <v>1483</v>
      </c>
      <c r="BN28" s="990" t="s">
        <v>28</v>
      </c>
      <c r="BQ28" s="1198">
        <v>4190073</v>
      </c>
      <c r="BR28" s="988" t="s">
        <v>1598</v>
      </c>
      <c r="BS28" s="1346"/>
      <c r="BV28" s="990"/>
      <c r="BW28" s="990"/>
    </row>
    <row r="29" spans="1:82" ht="11.25" customHeight="1">
      <c r="A29" s="994" t="s">
        <v>1599</v>
      </c>
      <c r="D29" s="1022" t="s">
        <v>1600</v>
      </c>
      <c r="E29" s="1023" t="str">
        <f>IF(TEMPLATE_GROUP="","",INDEX(StartDateList,MATCH(TEMPLATE_GROUP,CodeTemplateList,0),1))</f>
        <v>01.01.2024</v>
      </c>
      <c r="F29" s="1023" t="str">
        <f>IF(TEMPLATE_GROUP="","",INDEX(EndDateList,MATCH(TEMPLATE_GROUP,CodeTemplateList,0),1))</f>
        <v>31.12.2025</v>
      </c>
      <c r="H29" s="1024" t="s">
        <v>1601</v>
      </c>
      <c r="AX29" s="1037" t="s">
        <v>1602</v>
      </c>
      <c r="AZ29" s="1037" t="s">
        <v>1252</v>
      </c>
      <c r="BB29" s="1037" t="s">
        <v>1451</v>
      </c>
      <c r="BC29" s="1010"/>
      <c r="BE29" s="1037">
        <v>2027</v>
      </c>
      <c r="BJ29" s="988" t="s">
        <v>1491</v>
      </c>
      <c r="BL29" s="988" t="s">
        <v>1491</v>
      </c>
    </row>
    <row r="30" spans="1:82" ht="11.25" customHeight="1">
      <c r="A30" s="994" t="s">
        <v>1603</v>
      </c>
      <c r="D30" s="1025"/>
      <c r="E30" s="1026"/>
      <c r="F30" s="1026"/>
      <c r="AX30" s="1037" t="s">
        <v>1604</v>
      </c>
      <c r="AZ30" s="1037" t="s">
        <v>1276</v>
      </c>
      <c r="BE30" s="1037">
        <v>2028</v>
      </c>
      <c r="BJ30" s="988" t="s">
        <v>1605</v>
      </c>
      <c r="BL30" s="988" t="s">
        <v>1605</v>
      </c>
    </row>
    <row r="31" spans="1:82" ht="12.75" customHeight="1">
      <c r="A31" s="994" t="s">
        <v>1606</v>
      </c>
      <c r="D31" s="1019"/>
      <c r="E31" s="1020"/>
      <c r="F31" s="1020"/>
      <c r="H31" s="1027"/>
      <c r="AX31" s="1037" t="s">
        <v>1607</v>
      </c>
      <c r="AZ31" s="1037" t="s">
        <v>1608</v>
      </c>
      <c r="BE31" s="1037">
        <v>2029</v>
      </c>
      <c r="BJ31" s="988" t="s">
        <v>1609</v>
      </c>
      <c r="BL31" s="988" t="s">
        <v>1609</v>
      </c>
    </row>
    <row r="32" spans="1:82" ht="11.25" customHeight="1">
      <c r="A32" s="994" t="s">
        <v>1610</v>
      </c>
      <c r="D32" s="1022" t="s">
        <v>1611</v>
      </c>
      <c r="E32" s="1023" t="str">
        <f>IF(TEMPLATE_GROUP="","",INDEX(StartDateList,MATCH(TEMPLATE_GROUP,CodeTemplateList,0),1))</f>
        <v>01.01.2024</v>
      </c>
      <c r="F32" s="1023" t="str">
        <f>IF(TEMPLATE_GROUP="","",INDEX(EndDateList,MATCH(TEMPLATE_GROUP,CodeTemplateList,0),1))</f>
        <v>31.12.2025</v>
      </c>
      <c r="H32" s="1028" t="s">
        <v>1612</v>
      </c>
      <c r="O32" s="994" t="s">
        <v>482</v>
      </c>
      <c r="AX32" s="1037" t="s">
        <v>1613</v>
      </c>
      <c r="AZ32" s="1037" t="s">
        <v>1344</v>
      </c>
      <c r="BE32" s="1037">
        <v>2030</v>
      </c>
      <c r="BJ32" s="988" t="s">
        <v>1499</v>
      </c>
      <c r="BL32" s="988" t="s">
        <v>1499</v>
      </c>
    </row>
    <row r="33" spans="1:66" ht="11.25" customHeight="1">
      <c r="A33" s="994" t="s">
        <v>1614</v>
      </c>
      <c r="O33" s="994" t="s">
        <v>1274</v>
      </c>
      <c r="AX33" s="1037" t="s">
        <v>1615</v>
      </c>
      <c r="AZ33" s="1037" t="s">
        <v>481</v>
      </c>
      <c r="BE33" s="1037">
        <v>2031</v>
      </c>
      <c r="BJ33" s="988" t="s">
        <v>1506</v>
      </c>
      <c r="BL33" s="988" t="s">
        <v>1506</v>
      </c>
    </row>
    <row r="34" spans="1:66" ht="11.25" customHeight="1">
      <c r="A34" s="994" t="s">
        <v>1616</v>
      </c>
      <c r="O34" s="994" t="s">
        <v>1309</v>
      </c>
      <c r="AX34" s="1037" t="s">
        <v>1617</v>
      </c>
      <c r="BE34" s="1037">
        <v>2032</v>
      </c>
      <c r="BJ34" s="988" t="s">
        <v>1517</v>
      </c>
      <c r="BL34" s="988" t="s">
        <v>1517</v>
      </c>
    </row>
    <row r="35" spans="1:66" ht="11.25" customHeight="1">
      <c r="A35" s="994" t="s">
        <v>1618</v>
      </c>
      <c r="O35" s="994" t="s">
        <v>1342</v>
      </c>
      <c r="AX35" s="1037" t="s">
        <v>1619</v>
      </c>
      <c r="AZ35" s="987" t="s">
        <v>1620</v>
      </c>
      <c r="BE35" s="1037">
        <v>2033</v>
      </c>
      <c r="BL35" s="988" t="s">
        <v>1621</v>
      </c>
    </row>
    <row r="36" spans="1:66" ht="11.25" customHeight="1">
      <c r="A36" s="1784" t="s">
        <v>1622</v>
      </c>
      <c r="D36" s="1029" t="s">
        <v>1623</v>
      </c>
      <c r="E36" s="1030" t="s">
        <v>840</v>
      </c>
      <c r="F36" s="1031" t="str">
        <f>INDEX(E37:E41,MATCH(TEMPLATE_SPHERE,F37:F41,0))</f>
        <v>теплоснабжения</v>
      </c>
      <c r="G36" s="1031" t="str">
        <f>INDEX(G37:G41,MATCH(TEMPLATE_SPHERE,F37:F41,0))</f>
        <v>теплоснабжение</v>
      </c>
      <c r="O36" s="994" t="s">
        <v>1367</v>
      </c>
      <c r="AX36" s="1037" t="s">
        <v>1624</v>
      </c>
      <c r="AZ36" s="1037" t="s">
        <v>481</v>
      </c>
      <c r="BE36" s="1037">
        <v>2034</v>
      </c>
      <c r="BL36" s="988" t="s">
        <v>1625</v>
      </c>
    </row>
    <row r="37" spans="1:66" ht="11.25" customHeight="1">
      <c r="A37" s="994" t="s">
        <v>1626</v>
      </c>
      <c r="E37" s="341" t="s">
        <v>1627</v>
      </c>
      <c r="F37" s="1032" t="s">
        <v>840</v>
      </c>
      <c r="G37" s="341" t="s">
        <v>1628</v>
      </c>
      <c r="O37" s="994" t="s">
        <v>1386</v>
      </c>
      <c r="AX37" s="1037" t="s">
        <v>1629</v>
      </c>
      <c r="AZ37" s="1037" t="s">
        <v>1275</v>
      </c>
      <c r="BE37" s="1037">
        <v>2035</v>
      </c>
    </row>
    <row r="38" spans="1:66" ht="11.25" customHeight="1">
      <c r="A38" s="994" t="s">
        <v>1630</v>
      </c>
      <c r="E38" s="341" t="s">
        <v>1631</v>
      </c>
      <c r="F38" s="1033" t="s">
        <v>886</v>
      </c>
      <c r="G38" s="341" t="s">
        <v>1632</v>
      </c>
      <c r="O38" s="994" t="s">
        <v>1403</v>
      </c>
      <c r="AX38" s="1037" t="s">
        <v>1633</v>
      </c>
      <c r="AZ38" s="1037" t="s">
        <v>1310</v>
      </c>
      <c r="BE38" s="1037">
        <v>2036</v>
      </c>
      <c r="BH38" s="987" t="s">
        <v>1634</v>
      </c>
      <c r="BJ38" s="987" t="s">
        <v>1635</v>
      </c>
      <c r="BL38" s="987" t="s">
        <v>1636</v>
      </c>
      <c r="BN38" s="987" t="s">
        <v>1637</v>
      </c>
    </row>
    <row r="39" spans="1:66" ht="11.25" customHeight="1">
      <c r="A39" s="994" t="s">
        <v>1638</v>
      </c>
      <c r="E39" s="341" t="s">
        <v>1639</v>
      </c>
      <c r="F39" s="1033" t="s">
        <v>939</v>
      </c>
      <c r="G39" s="341" t="s">
        <v>1640</v>
      </c>
      <c r="O39" s="994" t="s">
        <v>1419</v>
      </c>
      <c r="AX39" s="1037" t="s">
        <v>1641</v>
      </c>
      <c r="AZ39" s="1037" t="s">
        <v>1343</v>
      </c>
      <c r="BE39" s="1037">
        <v>2037</v>
      </c>
      <c r="BH39" s="988" t="s">
        <v>1642</v>
      </c>
      <c r="BJ39" s="1134" t="s">
        <v>1642</v>
      </c>
      <c r="BL39" s="1134" t="s">
        <v>1642</v>
      </c>
      <c r="BN39" s="988" t="s">
        <v>1643</v>
      </c>
    </row>
    <row r="40" spans="1:66" ht="11.25" customHeight="1">
      <c r="A40" s="994" t="s">
        <v>1644</v>
      </c>
      <c r="E40" s="341" t="s">
        <v>1645</v>
      </c>
      <c r="F40" s="1033" t="s">
        <v>926</v>
      </c>
      <c r="G40" s="341" t="s">
        <v>1646</v>
      </c>
      <c r="O40" s="994" t="s">
        <v>1435</v>
      </c>
      <c r="AX40" s="1037" t="s">
        <v>1647</v>
      </c>
      <c r="BE40" s="1037">
        <v>2038</v>
      </c>
      <c r="BH40" s="988" t="s">
        <v>1648</v>
      </c>
      <c r="BJ40" s="1134" t="s">
        <v>1059</v>
      </c>
      <c r="BL40" s="1134" t="s">
        <v>1059</v>
      </c>
      <c r="BN40" s="988" t="s">
        <v>1093</v>
      </c>
    </row>
    <row r="41" spans="1:66" ht="11.25" customHeight="1">
      <c r="A41" s="994" t="s">
        <v>1649</v>
      </c>
      <c r="E41" s="341" t="s">
        <v>1650</v>
      </c>
      <c r="F41" s="1033" t="s">
        <v>1651</v>
      </c>
      <c r="G41" s="341" t="s">
        <v>1650</v>
      </c>
      <c r="O41" s="994" t="s">
        <v>1451</v>
      </c>
      <c r="AX41" s="1037" t="s">
        <v>1652</v>
      </c>
      <c r="AZ41" s="987" t="s">
        <v>1653</v>
      </c>
      <c r="BE41" s="1037">
        <v>2039</v>
      </c>
      <c r="BH41" s="988" t="s">
        <v>1654</v>
      </c>
      <c r="BJ41" s="1134" t="s">
        <v>1055</v>
      </c>
      <c r="BL41" s="1134" t="s">
        <v>1055</v>
      </c>
      <c r="BN41" s="988" t="s">
        <v>1080</v>
      </c>
    </row>
    <row r="42" spans="1:66" ht="11.25" customHeight="1">
      <c r="A42" s="994" t="s">
        <v>1655</v>
      </c>
      <c r="AX42" s="1037" t="s">
        <v>1656</v>
      </c>
      <c r="AZ42" s="1037" t="s">
        <v>482</v>
      </c>
      <c r="BE42" s="1037">
        <v>2040</v>
      </c>
      <c r="BH42" s="988" t="s">
        <v>1077</v>
      </c>
      <c r="BJ42" s="1134" t="s">
        <v>1057</v>
      </c>
      <c r="BL42" s="1134" t="s">
        <v>1057</v>
      </c>
      <c r="BN42" s="988" t="s">
        <v>1657</v>
      </c>
    </row>
    <row r="43" spans="1:66" ht="11.25" customHeight="1">
      <c r="A43" s="994" t="s">
        <v>1658</v>
      </c>
      <c r="AX43" s="1037" t="s">
        <v>1659</v>
      </c>
      <c r="AZ43" s="1037" t="s">
        <v>1274</v>
      </c>
      <c r="BE43" s="1037">
        <v>2041</v>
      </c>
      <c r="BH43" s="988" t="s">
        <v>1660</v>
      </c>
      <c r="BJ43" s="1134" t="s">
        <v>1654</v>
      </c>
      <c r="BL43" s="1134" t="s">
        <v>1654</v>
      </c>
      <c r="BN43" s="988" t="s">
        <v>1661</v>
      </c>
    </row>
    <row r="44" spans="1:66" ht="11.25" customHeight="1">
      <c r="A44" s="994" t="s">
        <v>1662</v>
      </c>
      <c r="G44" s="1013">
        <f ca="1">YEAR(TODAY())</f>
        <v>2025</v>
      </c>
      <c r="I44" s="727" t="s">
        <v>1663</v>
      </c>
      <c r="J44" s="1009" t="s">
        <v>1664</v>
      </c>
      <c r="K44" s="1009" t="s">
        <v>1665</v>
      </c>
      <c r="AX44" s="1037" t="s">
        <v>1666</v>
      </c>
      <c r="AZ44" s="1037" t="s">
        <v>1309</v>
      </c>
      <c r="BE44" s="1037">
        <v>2042</v>
      </c>
      <c r="BH44" s="988" t="s">
        <v>1667</v>
      </c>
      <c r="BJ44" s="1134" t="s">
        <v>1077</v>
      </c>
      <c r="BL44" s="1134" t="s">
        <v>1077</v>
      </c>
      <c r="BN44" s="988" t="s">
        <v>1668</v>
      </c>
    </row>
    <row r="45" spans="1:66" ht="11.25" customHeight="1">
      <c r="A45" s="994" t="s">
        <v>1669</v>
      </c>
      <c r="D45" s="1029" t="s">
        <v>1670</v>
      </c>
      <c r="E45" s="1030" t="s">
        <v>1671</v>
      </c>
      <c r="F45" s="725" t="s">
        <v>1672</v>
      </c>
      <c r="G45" s="724" t="s">
        <v>1673</v>
      </c>
      <c r="H45" s="727" t="s">
        <v>1674</v>
      </c>
      <c r="I45" s="1657" t="b">
        <f>INDEX(PeriodIsEmptyList,MATCH(TEMPLATE_GROUP,CodeTemplateList,0),1)</f>
        <v>0</v>
      </c>
      <c r="J45" s="1660" t="str">
        <f>INDEX(NameTemplatesInTitleList,MATCH(TEMPLATE_GROUP,CodeTemplateList,0),1)</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45" s="1660"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037" t="s">
        <v>1675</v>
      </c>
      <c r="AZ45" s="1037" t="s">
        <v>1342</v>
      </c>
      <c r="BE45" s="1037">
        <v>2043</v>
      </c>
      <c r="BH45" s="988" t="s">
        <v>1676</v>
      </c>
      <c r="BJ45" s="1134" t="s">
        <v>1071</v>
      </c>
      <c r="BL45" s="1134" t="s">
        <v>1071</v>
      </c>
      <c r="BN45" s="988" t="s">
        <v>1677</v>
      </c>
    </row>
    <row r="46" spans="1:66" ht="11.25" customHeight="1">
      <c r="A46" s="994" t="s">
        <v>1678</v>
      </c>
      <c r="E46" s="341" t="s">
        <v>26</v>
      </c>
      <c r="F46" s="1032" t="s">
        <v>1679</v>
      </c>
      <c r="G46" s="1034" t="str">
        <f ca="1">IFERROR(IF(TITLE_DATE_FIL="","01.01."&amp;CURRENT_YEAR,"01.01."&amp;YEAR(TITLE_DATE_FIL)),"01.01."&amp;CURRENT_YEAR)</f>
        <v>01.01.2025</v>
      </c>
      <c r="H46" s="1034" t="str">
        <f ca="1">IFERROR(IF(TITLE_DATE_FIL="","31.12."&amp;CURRENT_YEAR,"31.12."&amp;YEAR(TITLE_DATE_FIL)),"31.12."&amp;CURRENT_YEAR)</f>
        <v>31.12.2025</v>
      </c>
      <c r="I46" s="1658" t="b">
        <f>IF(TITLE_DATE_FIL="",TRUE,FALSE)</f>
        <v>1</v>
      </c>
      <c r="J46" s="1661" t="str">
        <f>"Общая информация о регулируемой организации ("&amp;TEMPLATE_SPHERE_RUS&amp;")"</f>
        <v>Общая информация о регулируемой организации (теплоснабжения)</v>
      </c>
      <c r="K46" s="1662"/>
      <c r="AX46" s="1037" t="s">
        <v>1680</v>
      </c>
      <c r="AZ46" s="1037" t="s">
        <v>1367</v>
      </c>
      <c r="BE46" s="1037">
        <v>2044</v>
      </c>
      <c r="BH46" s="988" t="s">
        <v>1080</v>
      </c>
      <c r="BJ46" s="1134" t="s">
        <v>1061</v>
      </c>
      <c r="BL46" s="1134" t="s">
        <v>1061</v>
      </c>
      <c r="BN46" s="988" t="s">
        <v>1681</v>
      </c>
    </row>
    <row r="47" spans="1:66" ht="11.25" customHeight="1">
      <c r="A47" s="994" t="s">
        <v>1682</v>
      </c>
      <c r="E47" s="341" t="s">
        <v>33</v>
      </c>
      <c r="F47" s="1033" t="s">
        <v>1683</v>
      </c>
      <c r="G47" s="1034" t="str">
        <f ca="1">IFERROR(IF(f_year="","01.01."&amp;CURRENT_YEAR,IF(LEN(f_quart)=0,"01.01."&amp;f_year,IF(f_quart="I квартал","01.01."&amp;f_year,IF(f_quart="II квартал","01.04."&amp;f_year,(IF(f_quart="III квартал","01.07."&amp;f_year,"01.10."&amp;f_year)))))),"01.01."&amp;CURRENT_YEAR)</f>
        <v>01.01.2025</v>
      </c>
      <c r="H47" s="1034" t="str">
        <f ca="1">IFERROR(IF(f_year="","31.12."&amp;CURRENT_YEAR,IF(LEN(f_quart)=0,"31.12."&amp;f_year,IF(f_quart="I квартал","31.03."&amp;f_year,IF(f_quart="II квартал","30.06."&amp;f_year,(IF(f_quart="III квартал","30.09."&amp;f_year,"31.12."&amp;f_year)))))),"31.12."&amp;CURRENT_YEAR)</f>
        <v>31.12.2025</v>
      </c>
      <c r="I47" s="1659" t="b">
        <f>IF(OR(f_year="",f_quart=""),TRUE,FALSE)</f>
        <v>1</v>
      </c>
      <c r="J47" s="1661"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662"/>
      <c r="AX47" s="1037" t="s">
        <v>1684</v>
      </c>
      <c r="AZ47" s="1037" t="s">
        <v>1386</v>
      </c>
      <c r="BE47" s="1037">
        <v>2045</v>
      </c>
      <c r="BH47" s="988" t="s">
        <v>1657</v>
      </c>
      <c r="BJ47" s="1134" t="s">
        <v>1063</v>
      </c>
      <c r="BL47" s="1134" t="s">
        <v>1063</v>
      </c>
      <c r="BN47" s="988" t="s">
        <v>1685</v>
      </c>
    </row>
    <row r="48" spans="1:66" ht="11.25" customHeight="1">
      <c r="A48" s="994" t="s">
        <v>1686</v>
      </c>
      <c r="E48" s="341" t="s">
        <v>1687</v>
      </c>
      <c r="F48" s="1033" t="s">
        <v>1688</v>
      </c>
      <c r="G48" s="1034" t="str">
        <f ca="1">IFERROR(IF(f_year="","01.01."&amp;CURRENT_YEAR,"01.01."&amp;f_year),"01.01."&amp;CURRENT_YEAR)</f>
        <v>01.01.2025</v>
      </c>
      <c r="H48" s="1034" t="str">
        <f ca="1">IFERROR(IF(f_year="","31.12."&amp;CURRENT_YEAR,"31.12."&amp;f_year),"31.12."&amp;CURRENT_YEAR)</f>
        <v>31.12.2025</v>
      </c>
      <c r="I48" s="1658" t="b">
        <f>IF(f_year="",TRUE,FALSE)</f>
        <v>1</v>
      </c>
      <c r="J48" s="1661" t="s">
        <v>1689</v>
      </c>
      <c r="K48" s="1662"/>
      <c r="AX48" s="1037" t="s">
        <v>1690</v>
      </c>
      <c r="AZ48" s="1037" t="s">
        <v>1403</v>
      </c>
      <c r="BE48" s="1037">
        <v>2046</v>
      </c>
      <c r="BH48" s="988" t="s">
        <v>1661</v>
      </c>
      <c r="BJ48" s="1134" t="s">
        <v>1065</v>
      </c>
      <c r="BL48" s="1134" t="s">
        <v>1065</v>
      </c>
      <c r="BN48" s="988" t="s">
        <v>1691</v>
      </c>
    </row>
    <row r="49" spans="1:64" ht="11.25" customHeight="1">
      <c r="A49" s="994" t="s">
        <v>1692</v>
      </c>
      <c r="E49" s="341" t="s">
        <v>1693</v>
      </c>
      <c r="F49" s="1033" t="s">
        <v>1694</v>
      </c>
      <c r="G49" s="1034" t="str">
        <f ca="1">IFERROR(IF(f_year="","01.01."&amp;CURRENT_YEAR,"01.01."&amp;f_year),"01.01."&amp;CURRENT_YEAR)</f>
        <v>01.01.2025</v>
      </c>
      <c r="H49" s="1034" t="str">
        <f ca="1">IFERROR(IF(f_year="","31.12."&amp;CURRENT_YEAR,"31.12."&amp;f_year),"31.12."&amp;CURRENT_YEAR)</f>
        <v>31.12.2025</v>
      </c>
      <c r="I49" s="1658" t="b">
        <f>IF(f_year="",TRUE,FALSE)</f>
        <v>1</v>
      </c>
      <c r="J49" s="1661"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662"/>
      <c r="AX49" s="1037" t="s">
        <v>100</v>
      </c>
      <c r="AZ49" s="1037" t="s">
        <v>1419</v>
      </c>
      <c r="BE49" s="1037">
        <v>2047</v>
      </c>
      <c r="BH49" s="988" t="s">
        <v>1081</v>
      </c>
      <c r="BJ49" s="1134" t="s">
        <v>1067</v>
      </c>
      <c r="BL49" s="1134" t="s">
        <v>1067</v>
      </c>
    </row>
    <row r="50" spans="1:64" ht="11.25" customHeight="1">
      <c r="A50" s="994" t="s">
        <v>1695</v>
      </c>
      <c r="E50" s="341" t="s">
        <v>1696</v>
      </c>
      <c r="F50" s="1033" t="s">
        <v>1051</v>
      </c>
      <c r="G50" s="1034" t="str">
        <f ca="1">IFERROR(IF(f_year="","01.01."&amp;CURRENT_YEAR,"01.01."&amp;f_year),"01.01."&amp;CURRENT_YEAR)</f>
        <v>01.01.2025</v>
      </c>
      <c r="H50" s="1034" t="str">
        <f ca="1">IFERROR(IF(f_year="","31.12."&amp;CURRENT_YEAR,"31.12."&amp;f_year),"31.12."&amp;CURRENT_YEAR)</f>
        <v>31.12.2025</v>
      </c>
      <c r="I50" s="1658" t="b">
        <f>IF(f_year="",TRUE,FALSE)</f>
        <v>1</v>
      </c>
      <c r="J50" s="1661"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662"/>
      <c r="AX50" s="1037" t="s">
        <v>1697</v>
      </c>
      <c r="AZ50" s="1037" t="s">
        <v>1435</v>
      </c>
      <c r="BE50" s="1037">
        <v>2048</v>
      </c>
      <c r="BH50" s="988" t="s">
        <v>1668</v>
      </c>
      <c r="BJ50" s="1134" t="s">
        <v>1069</v>
      </c>
      <c r="BL50" s="1134" t="s">
        <v>1069</v>
      </c>
    </row>
    <row r="51" spans="1:64" ht="11.25" customHeight="1">
      <c r="A51" s="994" t="s">
        <v>1698</v>
      </c>
      <c r="E51" s="341" t="s">
        <v>1699</v>
      </c>
      <c r="F51" s="1033" t="s">
        <v>1671</v>
      </c>
      <c r="G51" s="1034" t="str">
        <f>IFERROR(IF(TITLE_PERIOD_START="","01.01."&amp;CURRENT_YEAR,"01.01."&amp;YEAR(TITLE_PERIOD_START)),"01.01."&amp;CURRENT_YEAR)</f>
        <v>01.01.2024</v>
      </c>
      <c r="H51" s="1034" t="str">
        <f>IFERROR(IF(TITLE_PERIOD_END="","31.12."&amp;CURRENT_YEAR,"31.12."&amp;YEAR(TITLE_PERIOD_END)),"31.12."&amp;CURRENT_YEAR)</f>
        <v>31.12.2025</v>
      </c>
      <c r="I51" s="1659" t="b">
        <f>IF(OR(TITLE_PERIOD_START="",TITLE_PERIOD_END=""),TRUE,FALSE)</f>
        <v>0</v>
      </c>
      <c r="J51" s="1661"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662"/>
      <c r="AX51" s="1037" t="s">
        <v>1700</v>
      </c>
      <c r="AZ51" s="1037" t="s">
        <v>1451</v>
      </c>
      <c r="BE51" s="1037">
        <v>2049</v>
      </c>
      <c r="BH51" s="988" t="s">
        <v>1677</v>
      </c>
      <c r="BJ51" s="1134" t="s">
        <v>1701</v>
      </c>
      <c r="BL51" s="1134" t="s">
        <v>1701</v>
      </c>
    </row>
    <row r="52" spans="1:64" ht="11.25" customHeight="1">
      <c r="A52" s="994" t="s">
        <v>1702</v>
      </c>
      <c r="E52" s="341" t="s">
        <v>1703</v>
      </c>
      <c r="F52" s="1033" t="s">
        <v>1704</v>
      </c>
      <c r="G52" s="1034" t="str">
        <f>IFERROR(IF(TITLE_PERIOD_START="","01.01."&amp;CURRENT_YEAR,"01.01."&amp;YEAR(TITLE_PERIOD_START)),"01.01."&amp;CURRENT_YEAR)</f>
        <v>01.01.2024</v>
      </c>
      <c r="H52" s="1034" t="str">
        <f>IFERROR(IF(TITLE_PERIOD_END="","31.12."&amp;CURRENT_YEAR,"31.12."&amp;YEAR(TITLE_PERIOD_END)),"31.12."&amp;CURRENT_YEAR)</f>
        <v>31.12.2025</v>
      </c>
      <c r="I52" s="1659" t="b">
        <f>IF(OR(TITLE_PERIOD_START="",TITLE_PERIOD_END=""),TRUE,FALSE)</f>
        <v>0</v>
      </c>
      <c r="J52" s="1661" t="str">
        <f>"Показатели, подлежащие раскрытию в сфере "&amp;TEMPLATE_SPHERE_RUS&amp;" (цены и тарифы)"</f>
        <v>Показатели, подлежащие раскрытию в сфере теплоснабжения (цены и тарифы)</v>
      </c>
      <c r="K52" s="1662"/>
      <c r="AX52" s="1037" t="s">
        <v>1705</v>
      </c>
      <c r="AZ52" s="1037" t="s">
        <v>481</v>
      </c>
      <c r="BE52" s="1037">
        <v>2050</v>
      </c>
      <c r="BH52" s="988" t="s">
        <v>1681</v>
      </c>
      <c r="BJ52" s="1134" t="s">
        <v>1080</v>
      </c>
      <c r="BL52" s="1134" t="s">
        <v>1080</v>
      </c>
    </row>
    <row r="53" spans="1:64" ht="11.25" customHeight="1">
      <c r="A53" s="994" t="s">
        <v>1706</v>
      </c>
      <c r="E53" s="341" t="s">
        <v>1707</v>
      </c>
      <c r="F53" s="1033" t="s">
        <v>1707</v>
      </c>
      <c r="G53" s="1034" t="str">
        <f ca="1">IFERROR(IF(f_year="","01.01."&amp;CURRENT_YEAR,"01.01."&amp;f_year),"01.01."&amp;CURRENT_YEAR)</f>
        <v>01.01.2025</v>
      </c>
      <c r="H53" s="1034" t="str">
        <f ca="1">IFERROR(IF(f_year="","31.12."&amp;CURRENT_YEAR,"31.12."&amp;f_year),"31.12."&amp;CURRENT_YEAR)</f>
        <v>31.12.2025</v>
      </c>
      <c r="I53" s="1658" t="b">
        <f>IF(AND(f_year="",TITLE_DATE_FIL=""),TRUE,FALSE)</f>
        <v>1</v>
      </c>
      <c r="J53" s="1661" t="s">
        <v>1708</v>
      </c>
      <c r="K53" s="1662"/>
      <c r="AX53" s="1037" t="s">
        <v>1709</v>
      </c>
      <c r="BE53" s="1037">
        <v>2051</v>
      </c>
      <c r="BH53" s="988" t="s">
        <v>1685</v>
      </c>
      <c r="BJ53" s="1134" t="s">
        <v>1657</v>
      </c>
      <c r="BL53" s="1134" t="s">
        <v>1657</v>
      </c>
    </row>
    <row r="54" spans="1:64" ht="11.25" customHeight="1">
      <c r="A54" s="994" t="s">
        <v>1710</v>
      </c>
      <c r="AX54" s="1037" t="s">
        <v>1711</v>
      </c>
      <c r="AZ54" s="987" t="s">
        <v>1712</v>
      </c>
      <c r="BE54" s="1037">
        <v>2052</v>
      </c>
      <c r="BH54" s="988" t="s">
        <v>1691</v>
      </c>
      <c r="BJ54" s="1134" t="s">
        <v>1661</v>
      </c>
      <c r="BL54" s="1134" t="s">
        <v>1661</v>
      </c>
    </row>
    <row r="55" spans="1:64" ht="11.25" customHeight="1">
      <c r="A55" s="994" t="s">
        <v>1713</v>
      </c>
      <c r="AX55" s="1037" t="s">
        <v>1714</v>
      </c>
      <c r="AZ55" s="1037" t="s">
        <v>1253</v>
      </c>
      <c r="BE55" s="1037">
        <v>2053</v>
      </c>
      <c r="BH55" s="990" t="s">
        <v>28</v>
      </c>
      <c r="BJ55" s="1134" t="s">
        <v>1081</v>
      </c>
      <c r="BL55" s="1134" t="s">
        <v>1081</v>
      </c>
    </row>
    <row r="56" spans="1:64" ht="11.25" customHeight="1">
      <c r="A56" s="994" t="s">
        <v>1715</v>
      </c>
      <c r="D56" s="1036" t="s">
        <v>1716</v>
      </c>
      <c r="E56" s="1014" t="s">
        <v>1717</v>
      </c>
      <c r="F56" s="994" t="s">
        <v>1718</v>
      </c>
      <c r="AX56" s="1037" t="s">
        <v>1719</v>
      </c>
      <c r="AZ56" s="1037" t="s">
        <v>1277</v>
      </c>
      <c r="BE56" s="1037">
        <v>2054</v>
      </c>
      <c r="BH56" s="990" t="s">
        <v>28</v>
      </c>
      <c r="BJ56" s="1134" t="s">
        <v>1668</v>
      </c>
      <c r="BL56" s="1134" t="s">
        <v>1668</v>
      </c>
    </row>
    <row r="57" spans="1:64" ht="11.25" customHeight="1">
      <c r="A57" s="994" t="s">
        <v>1720</v>
      </c>
      <c r="D57" s="1036" t="s">
        <v>1721</v>
      </c>
      <c r="E57" s="1014" t="s">
        <v>125</v>
      </c>
      <c r="F57" s="994" t="s">
        <v>1718</v>
      </c>
      <c r="AX57" s="1037" t="s">
        <v>1722</v>
      </c>
      <c r="AZ57" s="1037" t="s">
        <v>1312</v>
      </c>
      <c r="BE57" s="1037">
        <v>2055</v>
      </c>
      <c r="BJ57" s="1134" t="s">
        <v>1677</v>
      </c>
      <c r="BL57" s="1134" t="s">
        <v>1677</v>
      </c>
    </row>
    <row r="58" spans="1:64" ht="11.25" customHeight="1">
      <c r="A58" s="994" t="s">
        <v>1723</v>
      </c>
      <c r="D58" s="1036" t="s">
        <v>1724</v>
      </c>
      <c r="E58" s="1014" t="s">
        <v>125</v>
      </c>
      <c r="F58" s="994" t="s">
        <v>1718</v>
      </c>
      <c r="AX58" s="1037" t="s">
        <v>1725</v>
      </c>
      <c r="BE58" s="1037">
        <v>2056</v>
      </c>
      <c r="BJ58" s="1134" t="s">
        <v>1681</v>
      </c>
      <c r="BL58" s="1134" t="s">
        <v>1681</v>
      </c>
    </row>
    <row r="59" spans="1:64" ht="11.25" customHeight="1">
      <c r="A59" s="994" t="s">
        <v>1726</v>
      </c>
      <c r="D59" s="1036" t="s">
        <v>145</v>
      </c>
      <c r="E59" s="1014" t="s">
        <v>1613</v>
      </c>
      <c r="F59" s="994" t="s">
        <v>1727</v>
      </c>
      <c r="AX59" s="1037" t="s">
        <v>1728</v>
      </c>
      <c r="AZ59" s="987" t="s">
        <v>1729</v>
      </c>
      <c r="BE59" s="1037">
        <v>2057</v>
      </c>
      <c r="BJ59" s="1134" t="s">
        <v>1685</v>
      </c>
      <c r="BL59" s="1134" t="s">
        <v>1685</v>
      </c>
    </row>
    <row r="60" spans="1:64" ht="11.25" customHeight="1">
      <c r="A60" s="994" t="s">
        <v>1730</v>
      </c>
      <c r="D60" s="1036" t="s">
        <v>1731</v>
      </c>
      <c r="E60" s="1014" t="s">
        <v>1613</v>
      </c>
      <c r="F60" s="994" t="s">
        <v>1727</v>
      </c>
      <c r="AX60" s="1037" t="s">
        <v>1732</v>
      </c>
      <c r="AZ60" s="1037" t="s">
        <v>1254</v>
      </c>
      <c r="BE60" s="1037">
        <v>2058</v>
      </c>
      <c r="BJ60" s="1134" t="s">
        <v>1691</v>
      </c>
      <c r="BL60" s="1134" t="s">
        <v>1691</v>
      </c>
    </row>
    <row r="61" spans="1:64" ht="11.25" customHeight="1">
      <c r="A61" s="994" t="s">
        <v>1733</v>
      </c>
      <c r="D61" s="1036" t="s">
        <v>1734</v>
      </c>
      <c r="E61" s="1014" t="s">
        <v>1613</v>
      </c>
      <c r="F61" s="994" t="s">
        <v>1727</v>
      </c>
      <c r="AX61" s="1037" t="s">
        <v>1735</v>
      </c>
      <c r="AZ61" s="1037" t="s">
        <v>1278</v>
      </c>
      <c r="BE61" s="1037">
        <v>2059</v>
      </c>
      <c r="BL61" s="1134" t="s">
        <v>1073</v>
      </c>
    </row>
    <row r="62" spans="1:64" ht="11.25" customHeight="1">
      <c r="A62" s="994" t="s">
        <v>1736</v>
      </c>
      <c r="D62" s="1036" t="s">
        <v>144</v>
      </c>
      <c r="E62" s="1014">
        <v>36</v>
      </c>
      <c r="F62" s="994" t="s">
        <v>1727</v>
      </c>
      <c r="AZ62" s="1037" t="s">
        <v>1313</v>
      </c>
      <c r="BE62" s="1037">
        <v>2060</v>
      </c>
      <c r="BL62" s="1134" t="s">
        <v>1075</v>
      </c>
    </row>
    <row r="63" spans="1:64" ht="11.25" customHeight="1">
      <c r="A63" s="994" t="s">
        <v>1737</v>
      </c>
      <c r="D63" s="1036" t="s">
        <v>1738</v>
      </c>
      <c r="E63" s="1014">
        <v>36</v>
      </c>
      <c r="F63" s="994" t="s">
        <v>1727</v>
      </c>
      <c r="AZ63" s="1037" t="s">
        <v>1345</v>
      </c>
      <c r="BE63" s="1037">
        <v>2061</v>
      </c>
    </row>
    <row r="64" spans="1:64" ht="11.25" customHeight="1">
      <c r="A64" s="994" t="s">
        <v>1739</v>
      </c>
      <c r="D64" s="1036" t="s">
        <v>1740</v>
      </c>
      <c r="E64" s="1014">
        <v>36</v>
      </c>
      <c r="F64" s="994" t="s">
        <v>1727</v>
      </c>
      <c r="AZ64" s="1037" t="s">
        <v>1368</v>
      </c>
      <c r="BE64" s="1037">
        <v>2062</v>
      </c>
    </row>
    <row r="65" spans="1:66" ht="11.25" customHeight="1">
      <c r="A65" s="994" t="s">
        <v>1741</v>
      </c>
      <c r="D65" s="994"/>
      <c r="BE65" s="1037">
        <v>2063</v>
      </c>
    </row>
    <row r="66" spans="1:66" ht="11.25" customHeight="1">
      <c r="A66" s="994" t="s">
        <v>1742</v>
      </c>
      <c r="AZ66" s="987" t="s">
        <v>1743</v>
      </c>
      <c r="BE66" s="1037">
        <v>2064</v>
      </c>
    </row>
    <row r="67" spans="1:66" ht="11.25" customHeight="1">
      <c r="A67" s="994" t="s">
        <v>1744</v>
      </c>
      <c r="AZ67" s="1037" t="s">
        <v>1255</v>
      </c>
      <c r="BE67" s="1037">
        <v>2065</v>
      </c>
    </row>
    <row r="68" spans="1:66" ht="11.25" customHeight="1">
      <c r="A68" s="994" t="s">
        <v>1745</v>
      </c>
      <c r="AZ68" s="1037" t="s">
        <v>1279</v>
      </c>
      <c r="BE68" s="1037">
        <v>2066</v>
      </c>
      <c r="BH68" s="987" t="s">
        <v>1746</v>
      </c>
      <c r="BJ68" s="987" t="s">
        <v>1747</v>
      </c>
      <c r="BL68" s="987" t="s">
        <v>1748</v>
      </c>
      <c r="BN68" s="987" t="s">
        <v>1749</v>
      </c>
    </row>
    <row r="69" spans="1:66" ht="11.25" customHeight="1">
      <c r="A69" s="994" t="s">
        <v>1750</v>
      </c>
      <c r="AZ69" s="1037" t="s">
        <v>1314</v>
      </c>
      <c r="BE69" s="1037">
        <v>2067</v>
      </c>
      <c r="BH69" s="988" t="s">
        <v>1751</v>
      </c>
      <c r="BI69" s="1035" t="s">
        <v>124</v>
      </c>
      <c r="BJ69" s="988" t="s">
        <v>1752</v>
      </c>
      <c r="BK69" s="1035" t="s">
        <v>124</v>
      </c>
      <c r="BL69" s="988" t="s">
        <v>1753</v>
      </c>
      <c r="BM69" s="990" t="s">
        <v>124</v>
      </c>
      <c r="BN69" s="988" t="s">
        <v>1754</v>
      </c>
    </row>
    <row r="70" spans="1:66" ht="11.25" customHeight="1">
      <c r="A70" s="994" t="s">
        <v>1755</v>
      </c>
      <c r="AZ70" s="1037" t="s">
        <v>1346</v>
      </c>
      <c r="BE70" s="1037">
        <v>2068</v>
      </c>
      <c r="BH70" s="988" t="s">
        <v>1756</v>
      </c>
      <c r="BJ70" s="988" t="s">
        <v>1757</v>
      </c>
      <c r="BL70" s="988" t="s">
        <v>1758</v>
      </c>
      <c r="BN70" s="988" t="s">
        <v>1759</v>
      </c>
    </row>
    <row r="71" spans="1:66" ht="11.25" customHeight="1">
      <c r="A71" s="994" t="s">
        <v>1760</v>
      </c>
      <c r="AZ71" s="1037" t="s">
        <v>1348</v>
      </c>
      <c r="BE71" s="1037">
        <v>2069</v>
      </c>
      <c r="BH71" s="988" t="s">
        <v>1761</v>
      </c>
      <c r="BI71" s="1035" t="s">
        <v>91</v>
      </c>
      <c r="BJ71" s="988" t="s">
        <v>1762</v>
      </c>
      <c r="BK71" s="1035" t="s">
        <v>91</v>
      </c>
      <c r="BL71" s="988" t="s">
        <v>1763</v>
      </c>
      <c r="BM71" s="990" t="s">
        <v>91</v>
      </c>
      <c r="BN71" s="988" t="s">
        <v>1764</v>
      </c>
    </row>
    <row r="72" spans="1:66" ht="11.25" customHeight="1">
      <c r="A72" s="994" t="s">
        <v>1765</v>
      </c>
      <c r="AZ72" s="1037" t="s">
        <v>19</v>
      </c>
      <c r="BE72" s="1037">
        <v>2070</v>
      </c>
      <c r="BH72" s="988" t="s">
        <v>1766</v>
      </c>
      <c r="BJ72" s="988" t="s">
        <v>1766</v>
      </c>
      <c r="BL72" s="988" t="s">
        <v>1766</v>
      </c>
      <c r="BN72" s="988" t="s">
        <v>1767</v>
      </c>
    </row>
    <row r="73" spans="1:66" ht="11.25" customHeight="1">
      <c r="A73" s="994" t="s">
        <v>1768</v>
      </c>
      <c r="BH73" s="988" t="s">
        <v>1769</v>
      </c>
      <c r="BI73" s="1035" t="s">
        <v>125</v>
      </c>
      <c r="BJ73" s="988" t="s">
        <v>1770</v>
      </c>
      <c r="BK73" s="1035" t="s">
        <v>125</v>
      </c>
      <c r="BL73" s="988" t="s">
        <v>1771</v>
      </c>
      <c r="BM73" s="990" t="s">
        <v>125</v>
      </c>
      <c r="BN73" s="988" t="s">
        <v>1772</v>
      </c>
    </row>
    <row r="74" spans="1:66" ht="11.25" customHeight="1">
      <c r="A74" s="994" t="s">
        <v>1773</v>
      </c>
      <c r="BH74" s="988" t="s">
        <v>1774</v>
      </c>
      <c r="BJ74" s="988" t="s">
        <v>1775</v>
      </c>
      <c r="BL74" s="988" t="s">
        <v>1776</v>
      </c>
      <c r="BN74" s="988" t="s">
        <v>1777</v>
      </c>
    </row>
    <row r="75" spans="1:66" ht="11.25" customHeight="1">
      <c r="A75" s="994" t="s">
        <v>1778</v>
      </c>
      <c r="AZ75" s="987" t="s">
        <v>1779</v>
      </c>
      <c r="BH75" s="988" t="s">
        <v>1780</v>
      </c>
      <c r="BJ75" s="988" t="s">
        <v>1780</v>
      </c>
      <c r="BL75" s="988" t="s">
        <v>1780</v>
      </c>
    </row>
    <row r="76" spans="1:66" ht="11.25" customHeight="1">
      <c r="A76" s="994" t="s">
        <v>1781</v>
      </c>
      <c r="AZ76" s="1037" t="s">
        <v>1264</v>
      </c>
      <c r="BH76" s="988" t="s">
        <v>1782</v>
      </c>
      <c r="BJ76" s="988" t="s">
        <v>1783</v>
      </c>
      <c r="BL76" s="988" t="s">
        <v>1784</v>
      </c>
    </row>
    <row r="77" spans="1:66" ht="11.25" customHeight="1">
      <c r="A77" s="994" t="s">
        <v>1785</v>
      </c>
      <c r="AZ77" s="1037" t="s">
        <v>1289</v>
      </c>
    </row>
    <row r="78" spans="1:66" ht="11.25" customHeight="1">
      <c r="A78" s="994" t="s">
        <v>1786</v>
      </c>
      <c r="AZ78" s="1037" t="s">
        <v>1321</v>
      </c>
    </row>
    <row r="79" spans="1:66" ht="11.25" customHeight="1">
      <c r="A79" s="994" t="s">
        <v>1787</v>
      </c>
      <c r="AZ79" s="1037" t="s">
        <v>1352</v>
      </c>
      <c r="BH79" s="987" t="s">
        <v>1788</v>
      </c>
      <c r="BJ79" s="987" t="s">
        <v>1789</v>
      </c>
      <c r="BL79" s="987" t="s">
        <v>1790</v>
      </c>
    </row>
    <row r="80" spans="1:66" ht="11.25" customHeight="1">
      <c r="A80" s="994" t="s">
        <v>1791</v>
      </c>
      <c r="AZ80" s="1037" t="s">
        <v>1373</v>
      </c>
      <c r="BH80" s="988" t="s">
        <v>1792</v>
      </c>
      <c r="BJ80" s="988" t="s">
        <v>1793</v>
      </c>
      <c r="BL80" s="988" t="s">
        <v>1794</v>
      </c>
    </row>
    <row r="81" spans="1:66" ht="11.25" customHeight="1">
      <c r="A81" s="994" t="s">
        <v>1795</v>
      </c>
      <c r="AZ81" s="1037" t="s">
        <v>1390</v>
      </c>
      <c r="BH81" s="988" t="s">
        <v>1796</v>
      </c>
      <c r="BJ81" s="988" t="s">
        <v>1797</v>
      </c>
      <c r="BL81" s="988" t="s">
        <v>1798</v>
      </c>
    </row>
    <row r="82" spans="1:66" ht="11.25" customHeight="1">
      <c r="A82" s="994" t="s">
        <v>1799</v>
      </c>
      <c r="AZ82" s="1037" t="s">
        <v>1405</v>
      </c>
      <c r="BH82" s="988" t="s">
        <v>1800</v>
      </c>
      <c r="BJ82" s="988" t="s">
        <v>1801</v>
      </c>
      <c r="BL82" s="988" t="s">
        <v>1802</v>
      </c>
    </row>
    <row r="83" spans="1:66" ht="11.25" customHeight="1">
      <c r="A83" s="994" t="s">
        <v>1803</v>
      </c>
      <c r="BH83" s="988" t="s">
        <v>1804</v>
      </c>
      <c r="BJ83" s="988" t="s">
        <v>1805</v>
      </c>
      <c r="BL83" s="988" t="s">
        <v>1806</v>
      </c>
    </row>
    <row r="84" spans="1:66" ht="11.25" customHeight="1">
      <c r="A84" s="994" t="s">
        <v>1807</v>
      </c>
      <c r="AZ84" s="987" t="s">
        <v>1808</v>
      </c>
    </row>
    <row r="85" spans="1:66" ht="11.25" customHeight="1">
      <c r="A85" s="1784" t="s">
        <v>1809</v>
      </c>
      <c r="AZ85" s="1037" t="s">
        <v>1810</v>
      </c>
    </row>
    <row r="86" spans="1:66" ht="11.25" customHeight="1">
      <c r="A86" s="994" t="s">
        <v>1811</v>
      </c>
      <c r="AZ86" s="1037" t="s">
        <v>1812</v>
      </c>
      <c r="BH86" s="987" t="s">
        <v>1813</v>
      </c>
      <c r="BJ86" s="987" t="s">
        <v>1814</v>
      </c>
      <c r="BL86" s="987" t="s">
        <v>1815</v>
      </c>
    </row>
    <row r="87" spans="1:66" ht="11.25" customHeight="1">
      <c r="A87" s="994" t="s">
        <v>1816</v>
      </c>
      <c r="AZ87" s="1037" t="s">
        <v>1817</v>
      </c>
      <c r="BH87" s="988" t="s">
        <v>1818</v>
      </c>
      <c r="BJ87" s="988" t="s">
        <v>1819</v>
      </c>
      <c r="BL87" s="988" t="s">
        <v>1820</v>
      </c>
    </row>
    <row r="88" spans="1:66" ht="11.25" customHeight="1">
      <c r="A88" s="994" t="s">
        <v>1821</v>
      </c>
      <c r="AZ88" s="1523"/>
      <c r="BH88" s="988" t="s">
        <v>1822</v>
      </c>
      <c r="BJ88" s="988" t="s">
        <v>1823</v>
      </c>
      <c r="BL88" s="988" t="s">
        <v>1824</v>
      </c>
    </row>
    <row r="89" spans="1:66" ht="11.25" customHeight="1">
      <c r="A89" s="994" t="s">
        <v>1825</v>
      </c>
      <c r="AZ89" s="987" t="s">
        <v>1826</v>
      </c>
    </row>
    <row r="90" spans="1:66" ht="11.25" customHeight="1">
      <c r="A90" s="994" t="s">
        <v>1827</v>
      </c>
      <c r="AZ90" s="1037" t="s">
        <v>1051</v>
      </c>
    </row>
    <row r="91" spans="1:66" ht="11.25" customHeight="1">
      <c r="A91" s="994" t="s">
        <v>1828</v>
      </c>
      <c r="AZ91" s="1037" t="s">
        <v>1087</v>
      </c>
      <c r="BH91" s="987" t="s">
        <v>1829</v>
      </c>
      <c r="BJ91" s="987" t="s">
        <v>1830</v>
      </c>
      <c r="BL91" s="987" t="s">
        <v>1831</v>
      </c>
    </row>
    <row r="92" spans="1:66" ht="11.25" customHeight="1">
      <c r="AZ92" s="1037" t="s">
        <v>1832</v>
      </c>
      <c r="BH92" s="988" t="s">
        <v>1833</v>
      </c>
      <c r="BJ92" s="988" t="s">
        <v>1834</v>
      </c>
      <c r="BL92" s="988" t="s">
        <v>1835</v>
      </c>
    </row>
    <row r="93" spans="1:66" ht="11.25" customHeight="1">
      <c r="AZ93" s="1037" t="s">
        <v>1836</v>
      </c>
      <c r="BH93" s="988" t="s">
        <v>1837</v>
      </c>
      <c r="BJ93" s="988" t="s">
        <v>1838</v>
      </c>
      <c r="BL93" s="988" t="s">
        <v>1839</v>
      </c>
    </row>
    <row r="94" spans="1:66" ht="11.25" customHeight="1">
      <c r="AZ94" s="1037" t="s">
        <v>1840</v>
      </c>
    </row>
    <row r="96" spans="1:66" ht="11.25" customHeight="1">
      <c r="AZ96" s="987" t="s">
        <v>1841</v>
      </c>
      <c r="BH96" s="987" t="s">
        <v>1842</v>
      </c>
      <c r="BJ96" s="987" t="s">
        <v>1843</v>
      </c>
      <c r="BL96" s="987" t="s">
        <v>1844</v>
      </c>
      <c r="BN96" s="987" t="s">
        <v>1845</v>
      </c>
    </row>
    <row r="97" spans="52:66" ht="11.25" customHeight="1">
      <c r="AZ97" s="1815" t="s">
        <v>1846</v>
      </c>
      <c r="BA97" s="1816" t="s">
        <v>1847</v>
      </c>
      <c r="BH97" s="988" t="s">
        <v>1848</v>
      </c>
      <c r="BJ97" s="988" t="s">
        <v>1849</v>
      </c>
      <c r="BL97" s="988" t="s">
        <v>1850</v>
      </c>
      <c r="BN97" s="988" t="s">
        <v>1851</v>
      </c>
    </row>
    <row r="98" spans="52:66" ht="11.25" customHeight="1">
      <c r="AZ98" s="1815" t="s">
        <v>1852</v>
      </c>
      <c r="BA98" s="1816" t="s">
        <v>1853</v>
      </c>
      <c r="BH98" s="988" t="s">
        <v>1854</v>
      </c>
      <c r="BJ98" s="988" t="s">
        <v>1855</v>
      </c>
      <c r="BL98" s="988" t="s">
        <v>1856</v>
      </c>
      <c r="BN98" s="988" t="s">
        <v>1857</v>
      </c>
    </row>
    <row r="99" spans="52:66" ht="22.5" customHeight="1">
      <c r="AZ99" s="1815" t="s">
        <v>1858</v>
      </c>
      <c r="BA99" s="1816" t="str">
        <f>"не позднее чем за "&amp;IF(TEMPLATE_SPHERE="TKO","3","10")&amp;" дней до дня проведения заседания правления"</f>
        <v>не позднее чем за 10 дней до дня проведения заседания правления</v>
      </c>
      <c r="BH99" s="988" t="s">
        <v>1859</v>
      </c>
      <c r="BJ99" s="988" t="s">
        <v>1860</v>
      </c>
      <c r="BL99" s="988" t="s">
        <v>1861</v>
      </c>
      <c r="BN99" s="988" t="s">
        <v>1862</v>
      </c>
    </row>
    <row r="100" spans="52:66" ht="22.5" customHeight="1">
      <c r="AZ100" s="1815" t="s">
        <v>1863</v>
      </c>
      <c r="BA100" s="1816"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988" t="s">
        <v>1451</v>
      </c>
      <c r="BL100" s="988" t="s">
        <v>1451</v>
      </c>
      <c r="BN100" s="988" t="s">
        <v>1864</v>
      </c>
    </row>
    <row r="101" spans="52:66" ht="22.5" customHeight="1">
      <c r="AZ101" s="1815" t="s">
        <v>1865</v>
      </c>
      <c r="BA101" s="1816" t="s">
        <v>1866</v>
      </c>
      <c r="BN101" s="988" t="s">
        <v>1867</v>
      </c>
    </row>
    <row r="102" spans="52:66" ht="22.5" customHeight="1">
      <c r="AZ102" s="1815" t="s">
        <v>1868</v>
      </c>
      <c r="BA102" s="1816"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988" t="s">
        <v>1869</v>
      </c>
    </row>
    <row r="103" spans="52:66" ht="11.25" customHeight="1">
      <c r="AZ103" s="1815" t="s">
        <v>1870</v>
      </c>
      <c r="BA103" s="1816" t="s">
        <v>1871</v>
      </c>
      <c r="BN103" s="988" t="s">
        <v>1872</v>
      </c>
    </row>
    <row r="104" spans="52:66" ht="11.25" customHeight="1">
      <c r="BN104" s="988" t="s">
        <v>1873</v>
      </c>
    </row>
    <row r="105" spans="52:66" ht="11.25" customHeight="1">
      <c r="AZ105" s="1609" t="s">
        <v>1874</v>
      </c>
    </row>
    <row r="106" spans="52:66" ht="11.25" customHeight="1">
      <c r="AZ106" s="1037" t="s">
        <v>1875</v>
      </c>
    </row>
    <row r="107" spans="52:66" ht="11.25" customHeight="1">
      <c r="AZ107" s="1037" t="s">
        <v>1876</v>
      </c>
      <c r="BH107" s="987" t="s">
        <v>1877</v>
      </c>
      <c r="BJ107" s="987" t="s">
        <v>1878</v>
      </c>
      <c r="BL107" s="987" t="s">
        <v>1879</v>
      </c>
      <c r="BN107" s="987" t="s">
        <v>1880</v>
      </c>
    </row>
    <row r="108" spans="52:66" ht="11.25" customHeight="1">
      <c r="AZ108" s="1037" t="s">
        <v>604</v>
      </c>
      <c r="BH108" s="988" t="s">
        <v>1881</v>
      </c>
      <c r="BJ108" s="988" t="s">
        <v>1882</v>
      </c>
      <c r="BL108" s="988" t="s">
        <v>1536</v>
      </c>
      <c r="BN108" s="988" t="s">
        <v>1883</v>
      </c>
    </row>
    <row r="109" spans="52:66" ht="11.25" customHeight="1">
      <c r="BH109" s="988" t="s">
        <v>1884</v>
      </c>
    </row>
    <row r="110" spans="52:66" ht="11.25" customHeight="1">
      <c r="AZ110" s="1609" t="s">
        <v>1885</v>
      </c>
      <c r="BH110" s="988" t="s">
        <v>1884</v>
      </c>
    </row>
    <row r="111" spans="52:66" ht="11.25" customHeight="1">
      <c r="AZ111" s="1815" t="s">
        <v>1846</v>
      </c>
      <c r="BA111" s="1816" t="s">
        <v>1847</v>
      </c>
    </row>
    <row r="112" spans="52:66" ht="11.25" customHeight="1">
      <c r="AZ112" s="1815" t="s">
        <v>1852</v>
      </c>
      <c r="BA112" s="1816" t="s">
        <v>1853</v>
      </c>
    </row>
    <row r="113" spans="52:60" ht="22.5" customHeight="1">
      <c r="AZ113" s="1815" t="s">
        <v>1858</v>
      </c>
      <c r="BA113" s="1816" t="str">
        <f>"не позднее чем за "&amp;IF(TEMPLATE_SPHERE="TKO","3","10")&amp;" дней до дня проведения заседания правления"</f>
        <v>не позднее чем за 10 дней до дня проведения заседания правления</v>
      </c>
    </row>
    <row r="114" spans="52:60" ht="22.5" customHeight="1">
      <c r="AZ114" s="1815" t="s">
        <v>1863</v>
      </c>
      <c r="BA114" s="1816"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987" t="s">
        <v>1886</v>
      </c>
    </row>
    <row r="115" spans="52:60" ht="22.5" customHeight="1">
      <c r="AZ115" s="1815" t="s">
        <v>1868</v>
      </c>
      <c r="BA115" s="1816"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988" t="s">
        <v>481</v>
      </c>
    </row>
    <row r="116" spans="52:60" ht="11.25" customHeight="1">
      <c r="AZ116" s="1815" t="s">
        <v>1870</v>
      </c>
      <c r="BA116" s="1816" t="s">
        <v>1871</v>
      </c>
      <c r="BH116" s="988" t="s">
        <v>1275</v>
      </c>
    </row>
    <row r="117" spans="52:60" ht="11.25" customHeight="1">
      <c r="BH117" s="988" t="s">
        <v>1310</v>
      </c>
    </row>
    <row r="118" spans="52:60" ht="11.25" customHeight="1">
      <c r="BH118" s="988" t="s">
        <v>1343</v>
      </c>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legacy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AC8D89-3E06-164B-48C3-2AC754F23978}">
  <dimension ref="A1:J25"/>
  <sheetViews>
    <sheetView showGridLines="0" topLeftCell="C4" zoomScale="90" workbookViewId="0"/>
  </sheetViews>
  <sheetFormatPr defaultColWidth="9.09765625" defaultRowHeight="11.25" customHeight="1"/>
  <cols>
    <col min="1" max="2" width="15" style="2207" hidden="1" customWidth="1"/>
    <col min="3" max="3" width="3" style="2205" customWidth="1"/>
    <col min="4" max="4" width="6" style="2210" customWidth="1"/>
    <col min="5" max="5" width="52" style="2205" customWidth="1"/>
    <col min="6" max="6" width="48" style="2205" customWidth="1"/>
    <col min="7" max="7" width="93" style="2205" customWidth="1"/>
    <col min="8" max="8" width="8" style="2205" customWidth="1"/>
    <col min="9" max="9" width="64" style="2205" customWidth="1"/>
    <col min="10" max="10" width="9.09765625" style="2205" hidden="1"/>
  </cols>
  <sheetData>
    <row r="1" spans="1:10" ht="11.25" hidden="1" customHeight="1">
      <c r="A1" s="435" t="s">
        <v>334</v>
      </c>
      <c r="J1" s="389" t="s">
        <v>14</v>
      </c>
    </row>
    <row r="2" spans="1:10" ht="22.5" hidden="1" customHeight="1">
      <c r="A2" s="436"/>
      <c r="B2" s="436"/>
      <c r="C2" s="1646" t="s">
        <v>105</v>
      </c>
      <c r="D2" s="1437"/>
      <c r="E2" s="1443"/>
      <c r="F2" s="1466"/>
      <c r="H2" s="409"/>
      <c r="J2" s="389">
        <v>0</v>
      </c>
    </row>
    <row r="3" spans="1:10" ht="11.25" hidden="1" customHeight="1">
      <c r="J3" s="389">
        <v>0</v>
      </c>
    </row>
    <row r="4" spans="1:10" ht="11.5" customHeight="1">
      <c r="A4" s="1467"/>
      <c r="B4" s="1467"/>
      <c r="J4" s="389">
        <v>11</v>
      </c>
    </row>
    <row r="5" spans="1:10" ht="27.25" customHeight="1">
      <c r="D5" s="3060"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3061"/>
      <c r="F5" s="3062"/>
      <c r="I5" s="649"/>
      <c r="J5" s="389">
        <v>26</v>
      </c>
    </row>
    <row r="6" spans="1:10" ht="18" customHeight="1">
      <c r="D6" s="3131" t="str">
        <f>IF(region_name=0,"Не определено",region_name)</f>
        <v>Камчатский край</v>
      </c>
      <c r="E6" s="3131"/>
      <c r="F6" s="3131"/>
      <c r="I6" s="649"/>
      <c r="J6" s="389">
        <v>17</v>
      </c>
    </row>
    <row r="7" spans="1:10" s="2206" customFormat="1" ht="11.5" customHeight="1">
      <c r="A7" s="435"/>
      <c r="B7" s="435"/>
      <c r="D7" s="648"/>
      <c r="E7" s="648"/>
      <c r="F7" s="686"/>
      <c r="G7" s="648"/>
      <c r="J7" s="411">
        <v>11</v>
      </c>
    </row>
    <row r="8" spans="1:10" ht="11.25" hidden="1" customHeight="1">
      <c r="A8" s="436"/>
      <c r="B8" s="436"/>
      <c r="C8" s="391"/>
      <c r="D8" s="397"/>
      <c r="E8" s="3157"/>
      <c r="F8" s="3157"/>
      <c r="J8" s="389">
        <v>0</v>
      </c>
    </row>
    <row r="9" spans="1:10" ht="11.5" customHeight="1">
      <c r="A9" s="436"/>
      <c r="B9" s="436"/>
      <c r="C9" s="391"/>
      <c r="D9" s="3154" t="s">
        <v>335</v>
      </c>
      <c r="E9" s="3155"/>
      <c r="F9" s="3155"/>
      <c r="G9" s="3158" t="s">
        <v>336</v>
      </c>
      <c r="J9" s="389">
        <v>11</v>
      </c>
    </row>
    <row r="10" spans="1:10" ht="11.5" customHeight="1">
      <c r="A10" s="436"/>
      <c r="B10" s="436"/>
      <c r="C10" s="391"/>
      <c r="D10" s="1391" t="s">
        <v>89</v>
      </c>
      <c r="E10" s="1393" t="s">
        <v>337</v>
      </c>
      <c r="F10" s="1393" t="s">
        <v>338</v>
      </c>
      <c r="G10" s="3159"/>
      <c r="J10" s="389">
        <v>11</v>
      </c>
    </row>
    <row r="11" spans="1:10" ht="1" customHeight="1">
      <c r="A11" s="436"/>
      <c r="B11" s="436"/>
      <c r="C11" s="391"/>
      <c r="D11" s="398"/>
      <c r="E11" s="398"/>
      <c r="F11" s="398"/>
      <c r="G11" s="398"/>
      <c r="J11" s="389">
        <v>1</v>
      </c>
    </row>
    <row r="12" spans="1:10" ht="24" customHeight="1">
      <c r="A12" s="436"/>
      <c r="B12" s="436"/>
      <c r="C12" s="391"/>
      <c r="D12" s="1437">
        <v>1</v>
      </c>
      <c r="E12" s="408"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 xml:space="preserve">Наименование органа тарифного регулирования </v>
      </c>
      <c r="F12" s="1822" t="str">
        <f>IF(org="","",org)</f>
        <v>ООО "РСО"</v>
      </c>
      <c r="G12" s="408"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450"/>
      <c r="J12" s="389">
        <v>23</v>
      </c>
    </row>
    <row r="13" spans="1:10" ht="20" customHeight="1">
      <c r="A13" s="436"/>
      <c r="B13" s="436"/>
      <c r="C13" s="391"/>
      <c r="D13" s="1437">
        <v>2</v>
      </c>
      <c r="E13" s="1444" t="s">
        <v>1887</v>
      </c>
      <c r="F13" s="1438" t="s">
        <v>341</v>
      </c>
      <c r="G13" s="408"/>
      <c r="H13" s="1450"/>
      <c r="J13" s="389">
        <v>19</v>
      </c>
    </row>
    <row r="14" spans="1:10" ht="20" customHeight="1">
      <c r="A14" s="436"/>
      <c r="B14" s="436"/>
      <c r="C14" s="391"/>
      <c r="D14" s="1440" t="s">
        <v>741</v>
      </c>
      <c r="E14" s="1441" t="s">
        <v>1888</v>
      </c>
      <c r="F14" s="1443"/>
      <c r="G14" s="1442" t="s">
        <v>1889</v>
      </c>
      <c r="H14" s="1450"/>
      <c r="J14" s="389">
        <v>19</v>
      </c>
    </row>
    <row r="15" spans="1:10" ht="20" customHeight="1">
      <c r="A15" s="436"/>
      <c r="B15" s="436"/>
      <c r="C15" s="391"/>
      <c r="D15" s="1440" t="s">
        <v>342</v>
      </c>
      <c r="E15" s="1441" t="s">
        <v>1890</v>
      </c>
      <c r="F15" s="1443"/>
      <c r="G15" s="1442" t="s">
        <v>1891</v>
      </c>
      <c r="H15" s="1450"/>
      <c r="J15" s="389">
        <v>19</v>
      </c>
    </row>
    <row r="16" spans="1:10" ht="24" customHeight="1">
      <c r="A16" s="436"/>
      <c r="B16" s="436"/>
      <c r="C16" s="391"/>
      <c r="D16" s="1440" t="s">
        <v>345</v>
      </c>
      <c r="E16" s="1439" t="s">
        <v>1892</v>
      </c>
      <c r="F16" s="1448"/>
      <c r="G16" s="408" t="s">
        <v>1893</v>
      </c>
      <c r="H16" s="1450"/>
      <c r="J16" s="389">
        <v>23</v>
      </c>
    </row>
    <row r="17" spans="1:10" ht="48.25" customHeight="1">
      <c r="A17" s="436"/>
      <c r="B17" s="436"/>
      <c r="C17" s="391"/>
      <c r="D17" s="1437">
        <v>3</v>
      </c>
      <c r="E17" s="1444" t="s">
        <v>1894</v>
      </c>
      <c r="F17" s="1443"/>
      <c r="G17" s="408" t="s">
        <v>1895</v>
      </c>
      <c r="H17" s="1450"/>
      <c r="J17" s="389">
        <v>46</v>
      </c>
    </row>
    <row r="18" spans="1:10" ht="48.25" customHeight="1">
      <c r="A18" s="1392">
        <v>1</v>
      </c>
      <c r="B18" s="436"/>
      <c r="C18" s="1394"/>
      <c r="D18" s="1437" t="s">
        <v>92</v>
      </c>
      <c r="E18" s="1444" t="s">
        <v>1896</v>
      </c>
      <c r="F18" s="1443"/>
      <c r="G18" s="408" t="s">
        <v>1895</v>
      </c>
      <c r="H18" s="1450"/>
      <c r="I18" s="776"/>
      <c r="J18" s="389">
        <v>46</v>
      </c>
    </row>
    <row r="19" spans="1:10" ht="23.25" customHeight="1">
      <c r="A19" s="436"/>
      <c r="B19" s="436"/>
      <c r="C19" s="391"/>
      <c r="D19" s="1437" t="s">
        <v>125</v>
      </c>
      <c r="E19" s="1444" t="s">
        <v>1897</v>
      </c>
      <c r="F19" s="1438" t="s">
        <v>341</v>
      </c>
      <c r="G19" s="3361" t="s">
        <v>1898</v>
      </c>
      <c r="H19" s="409"/>
      <c r="J19" s="389">
        <v>22</v>
      </c>
    </row>
    <row r="20" spans="1:10" s="3002" customFormat="1" ht="5.25" hidden="1" customHeight="1">
      <c r="A20" s="436"/>
      <c r="B20" s="436"/>
      <c r="C20" s="1446"/>
      <c r="D20" s="1445" t="s">
        <v>1148</v>
      </c>
      <c r="E20" s="935"/>
      <c r="F20" s="934"/>
      <c r="G20" s="3362"/>
      <c r="J20" s="1447">
        <v>0</v>
      </c>
    </row>
    <row r="21" spans="1:10" ht="15.75" customHeight="1">
      <c r="A21" s="436"/>
      <c r="B21" s="436"/>
      <c r="C21" s="391"/>
      <c r="D21" s="401"/>
      <c r="E21" s="349" t="s">
        <v>374</v>
      </c>
      <c r="F21" s="403"/>
      <c r="G21" s="3363"/>
      <c r="H21" s="1450"/>
      <c r="J21" s="389">
        <v>15</v>
      </c>
    </row>
    <row r="22" spans="1:10" s="2207" customFormat="1" ht="26.25" customHeight="1">
      <c r="A22" s="436"/>
      <c r="B22" s="436"/>
      <c r="C22" s="436"/>
      <c r="D22" s="1437" t="s">
        <v>93</v>
      </c>
      <c r="E22" s="408" t="s">
        <v>1899</v>
      </c>
      <c r="F22" s="1443"/>
      <c r="G22" s="408" t="s">
        <v>1900</v>
      </c>
      <c r="H22" s="1449"/>
      <c r="J22" s="435">
        <v>25</v>
      </c>
    </row>
    <row r="23" spans="1:10" s="2207" customFormat="1" ht="20" customHeight="1">
      <c r="A23" s="436"/>
      <c r="B23" s="436"/>
      <c r="C23" s="436"/>
      <c r="D23" s="1437" t="s">
        <v>94</v>
      </c>
      <c r="E23" s="1444" t="s">
        <v>1901</v>
      </c>
      <c r="F23" s="1448"/>
      <c r="G23" s="408" t="s">
        <v>1902</v>
      </c>
      <c r="H23" s="1449"/>
      <c r="J23" s="435">
        <v>19</v>
      </c>
    </row>
    <row r="24" spans="1:10" s="2207" customFormat="1" ht="144" hidden="1" customHeight="1">
      <c r="A24" s="436"/>
      <c r="B24" s="436"/>
      <c r="C24" s="436"/>
      <c r="D24" s="1437" t="s">
        <v>126</v>
      </c>
      <c r="E24" s="1811"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12"/>
      <c r="G24" s="1810"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449"/>
      <c r="J24" s="435">
        <v>0</v>
      </c>
    </row>
    <row r="25" spans="1:10" ht="11.25" hidden="1" customHeight="1">
      <c r="A25" s="435" t="s">
        <v>83</v>
      </c>
      <c r="B25" s="435">
        <v>0</v>
      </c>
      <c r="C25" s="389">
        <v>3</v>
      </c>
      <c r="D25" s="390">
        <v>6</v>
      </c>
      <c r="E25" s="389">
        <v>52</v>
      </c>
      <c r="F25" s="389">
        <v>48</v>
      </c>
      <c r="G25" s="389">
        <v>93</v>
      </c>
      <c r="H25" s="389">
        <v>8</v>
      </c>
      <c r="I25" s="389">
        <v>64</v>
      </c>
      <c r="J25" s="389">
        <v>11</v>
      </c>
    </row>
  </sheetData>
  <sheetProtection formatColumns="0" formatRows="0" insertRows="0" deleteColumns="0" deleteRows="0" sort="0" autoFilter="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xr:uid="{00000000-0002-0000-33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xr:uid="{00000000-0002-0000-3300-000001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87FC64-0501-DD84-486E-4F5CFFC9F832}">
  <dimension ref="A1:IU24"/>
  <sheetViews>
    <sheetView showGridLines="0" topLeftCell="D3" zoomScale="90" workbookViewId="0"/>
  </sheetViews>
  <sheetFormatPr defaultColWidth="9.09765625" defaultRowHeight="14.25" customHeight="1"/>
  <cols>
    <col min="1" max="1" width="9.09765625" style="2004" hidden="1"/>
    <col min="2" max="2" width="9.09765625" style="2016" hidden="1"/>
    <col min="3" max="3" width="3.69921875" style="2004" hidden="1" customWidth="1"/>
    <col min="4" max="4" width="3" style="2026" customWidth="1"/>
    <col min="5" max="5" width="6" style="2004" customWidth="1"/>
    <col min="6" max="6" width="46" style="2004" customWidth="1"/>
    <col min="7" max="8" width="16" style="2004" customWidth="1"/>
    <col min="9" max="9" width="35" style="2004" customWidth="1"/>
    <col min="10" max="10" width="89" style="2004" customWidth="1"/>
    <col min="11" max="11" width="3" style="2022" customWidth="1"/>
    <col min="12" max="14" width="8" style="2022" customWidth="1"/>
    <col min="15" max="15" width="25" style="2022" customWidth="1"/>
    <col min="16" max="16" width="14" style="2022" customWidth="1"/>
    <col min="17" max="20" width="8" style="2020" customWidth="1"/>
    <col min="21" max="254" width="8" style="2004" customWidth="1"/>
    <col min="255" max="255" width="9.09765625" style="2004" hidden="1"/>
  </cols>
  <sheetData>
    <row r="1" spans="1:255" ht="22.5" hidden="1" customHeight="1">
      <c r="F1" s="1548" t="s">
        <v>1903</v>
      </c>
      <c r="G1" s="1548" t="s">
        <v>49</v>
      </c>
      <c r="H1" s="1548" t="s">
        <v>51</v>
      </c>
      <c r="IU1" s="1072" t="s">
        <v>14</v>
      </c>
    </row>
    <row r="2" spans="1:255" s="2021" customFormat="1" ht="22.5" hidden="1" customHeight="1">
      <c r="A2" s="759"/>
      <c r="B2" s="1077">
        <v>1</v>
      </c>
      <c r="C2" s="1077"/>
      <c r="D2" s="1839" t="s">
        <v>105</v>
      </c>
      <c r="E2" s="1401"/>
      <c r="F2" s="1408"/>
      <c r="G2" s="1408"/>
      <c r="H2" s="1408"/>
      <c r="I2" s="1895"/>
      <c r="J2" s="1896"/>
      <c r="K2" s="1452"/>
      <c r="L2" s="445"/>
      <c r="M2" s="445"/>
      <c r="N2" s="434" t="str">
        <f t="array" ref="N2">IF(ISERROR(MATCH(MID(O2,1,250),MID(note_ter,1,250),0)),"n","y")</f>
        <v>n</v>
      </c>
      <c r="O2" s="445"/>
      <c r="P2" s="434" t="str">
        <f>G2&amp;"("&amp;J2&amp;")"</f>
        <v>()</v>
      </c>
      <c r="Q2" s="1077"/>
      <c r="R2" s="1077"/>
      <c r="S2" s="354"/>
      <c r="T2" s="1077"/>
      <c r="U2" s="1077"/>
      <c r="V2" s="1077"/>
      <c r="W2" s="356"/>
      <c r="X2" s="356"/>
      <c r="Y2" s="353"/>
      <c r="Z2" s="353"/>
      <c r="AA2" s="353"/>
      <c r="AB2" s="353"/>
      <c r="AC2" s="353"/>
      <c r="AD2" s="353"/>
      <c r="AE2" s="353"/>
      <c r="AF2" s="353"/>
      <c r="AG2" s="353"/>
      <c r="AH2" s="353"/>
      <c r="AI2" s="353"/>
      <c r="AJ2" s="353"/>
      <c r="AK2" s="353"/>
      <c r="AL2" s="353"/>
      <c r="AM2" s="353"/>
      <c r="AN2" s="353"/>
      <c r="AO2" s="353"/>
      <c r="AP2" s="353"/>
      <c r="AQ2" s="353"/>
      <c r="AR2" s="353"/>
      <c r="AS2" s="353"/>
      <c r="AT2" s="353"/>
      <c r="AU2" s="353"/>
      <c r="AV2" s="353"/>
      <c r="AW2" s="353"/>
      <c r="AX2" s="353"/>
      <c r="AY2" s="353"/>
      <c r="AZ2" s="353"/>
      <c r="BA2" s="353"/>
      <c r="BB2" s="353"/>
      <c r="BC2" s="353"/>
      <c r="BD2" s="353"/>
      <c r="BE2" s="353"/>
      <c r="BF2" s="353"/>
      <c r="BG2" s="353"/>
      <c r="BH2" s="353"/>
      <c r="BI2" s="353"/>
      <c r="BJ2" s="353"/>
      <c r="BK2" s="353"/>
      <c r="BL2" s="353"/>
      <c r="BM2" s="353"/>
      <c r="BN2" s="353"/>
      <c r="BO2" s="353"/>
      <c r="BP2" s="353"/>
      <c r="BQ2" s="353"/>
      <c r="BR2" s="353"/>
      <c r="BS2" s="353"/>
      <c r="BT2" s="356"/>
      <c r="BU2" s="356"/>
      <c r="BV2" s="356"/>
      <c r="BW2" s="356"/>
      <c r="BX2" s="356"/>
      <c r="BY2" s="356"/>
      <c r="BZ2" s="356"/>
      <c r="CA2" s="356"/>
      <c r="CB2" s="356"/>
      <c r="CC2" s="356"/>
      <c r="IU2" s="357">
        <v>0</v>
      </c>
    </row>
    <row r="3" spans="1:255" s="2017" customFormat="1" ht="4.25" customHeight="1">
      <c r="A3" s="430"/>
      <c r="D3" s="428"/>
      <c r="F3" s="182" t="s">
        <v>84</v>
      </c>
      <c r="G3" s="428" t="s">
        <v>85</v>
      </c>
      <c r="H3" s="428"/>
      <c r="I3" s="428"/>
      <c r="J3" s="162" t="s">
        <v>86</v>
      </c>
      <c r="K3" s="182" t="s">
        <v>84</v>
      </c>
      <c r="L3" s="182"/>
      <c r="M3" s="182"/>
      <c r="N3" s="182"/>
      <c r="O3" s="183"/>
      <c r="P3" s="182"/>
      <c r="Q3" s="182"/>
      <c r="R3" s="182"/>
      <c r="S3" s="182"/>
      <c r="T3" s="182"/>
      <c r="U3" s="162"/>
      <c r="V3" s="162"/>
      <c r="W3" s="162"/>
      <c r="X3" s="162"/>
      <c r="Y3" s="162"/>
      <c r="Z3" s="162"/>
      <c r="AA3" s="162"/>
      <c r="AB3" s="162"/>
      <c r="AC3" s="162"/>
      <c r="AD3" s="162"/>
      <c r="AE3" s="162"/>
      <c r="AF3" s="162"/>
      <c r="AG3" s="162"/>
      <c r="AH3" s="162"/>
      <c r="AI3" s="162"/>
      <c r="AJ3" s="162"/>
      <c r="AK3" s="162"/>
      <c r="AL3" s="162"/>
      <c r="AM3" s="162"/>
      <c r="AN3" s="162"/>
      <c r="AO3" s="162"/>
      <c r="AP3" s="162"/>
      <c r="AQ3" s="162"/>
      <c r="AR3" s="162"/>
      <c r="AS3" s="162"/>
      <c r="AT3" s="162"/>
      <c r="AU3" s="162"/>
      <c r="AV3" s="162"/>
      <c r="AW3" s="162"/>
      <c r="AX3" s="162"/>
      <c r="AY3" s="162"/>
      <c r="AZ3" s="162"/>
      <c r="BA3" s="162"/>
      <c r="BB3" s="162"/>
      <c r="BC3" s="162"/>
      <c r="BD3" s="162"/>
      <c r="BE3" s="162"/>
      <c r="BF3" s="162"/>
      <c r="BG3" s="162"/>
      <c r="BH3" s="162"/>
      <c r="BI3" s="162"/>
      <c r="BJ3" s="162"/>
      <c r="BK3" s="162"/>
      <c r="BL3" s="162"/>
      <c r="BM3" s="162"/>
      <c r="BN3" s="162"/>
      <c r="BO3" s="162"/>
      <c r="BP3" s="162"/>
      <c r="BQ3" s="162"/>
      <c r="BR3" s="162"/>
      <c r="BS3" s="162"/>
      <c r="BT3" s="162"/>
      <c r="BU3" s="162"/>
      <c r="BV3" s="162"/>
      <c r="BW3" s="162"/>
      <c r="BX3" s="162"/>
      <c r="BY3" s="162"/>
      <c r="BZ3" s="162"/>
      <c r="CA3" s="162"/>
      <c r="CB3" s="162"/>
      <c r="CC3" s="162"/>
      <c r="CD3" s="162"/>
      <c r="CE3" s="162"/>
      <c r="CF3" s="162"/>
      <c r="CG3" s="162"/>
      <c r="CH3" s="162"/>
      <c r="CI3" s="162"/>
      <c r="CJ3" s="162"/>
      <c r="CK3" s="162"/>
      <c r="CL3" s="162"/>
      <c r="CM3" s="162"/>
      <c r="CN3" s="162"/>
      <c r="CO3" s="162"/>
      <c r="CP3" s="162"/>
      <c r="CQ3" s="162"/>
      <c r="CR3" s="162"/>
      <c r="CS3" s="162"/>
      <c r="CT3" s="162"/>
      <c r="CU3" s="162"/>
      <c r="CV3" s="162"/>
      <c r="CW3" s="162"/>
      <c r="CX3" s="162"/>
      <c r="CY3" s="162"/>
      <c r="CZ3" s="162"/>
      <c r="DA3" s="162"/>
      <c r="DB3" s="162"/>
      <c r="DC3" s="162"/>
      <c r="DD3" s="162"/>
      <c r="DE3" s="162"/>
      <c r="DF3" s="162"/>
      <c r="DG3" s="162"/>
      <c r="DH3" s="162"/>
      <c r="DI3" s="162"/>
      <c r="DJ3" s="162"/>
      <c r="DK3" s="162"/>
      <c r="DL3" s="162"/>
      <c r="DM3" s="162"/>
      <c r="DN3" s="162"/>
      <c r="DO3" s="162"/>
      <c r="DP3" s="162"/>
      <c r="DQ3" s="162"/>
      <c r="DR3" s="162"/>
      <c r="DS3" s="162"/>
      <c r="DT3" s="162"/>
      <c r="DU3" s="162"/>
      <c r="DV3" s="162"/>
      <c r="DW3" s="162"/>
      <c r="DX3" s="162"/>
      <c r="DY3" s="162"/>
      <c r="DZ3" s="162"/>
      <c r="EA3" s="162"/>
      <c r="EB3" s="162"/>
      <c r="EC3" s="162"/>
      <c r="ED3" s="162"/>
      <c r="EE3" s="162"/>
      <c r="EF3" s="162"/>
      <c r="EG3" s="162"/>
      <c r="EH3" s="162"/>
      <c r="EI3" s="162"/>
      <c r="EJ3" s="162"/>
      <c r="EK3" s="162"/>
      <c r="EL3" s="162"/>
      <c r="EM3" s="162"/>
      <c r="EN3" s="162"/>
      <c r="EO3" s="162"/>
      <c r="EP3" s="162"/>
      <c r="EQ3" s="162"/>
      <c r="ER3" s="162"/>
      <c r="ES3" s="162"/>
      <c r="ET3" s="162"/>
      <c r="EU3" s="162"/>
      <c r="EV3" s="162"/>
      <c r="EW3" s="162"/>
      <c r="EX3" s="162"/>
      <c r="EY3" s="162"/>
      <c r="EZ3" s="162"/>
      <c r="FA3" s="162"/>
      <c r="FB3" s="162"/>
      <c r="FC3" s="162"/>
      <c r="FD3" s="162"/>
      <c r="FE3" s="162"/>
      <c r="FF3" s="162"/>
      <c r="FG3" s="162"/>
      <c r="FH3" s="162"/>
      <c r="FI3" s="162"/>
      <c r="FJ3" s="162"/>
      <c r="FK3" s="162"/>
      <c r="FL3" s="162"/>
      <c r="FM3" s="162"/>
      <c r="FN3" s="162"/>
      <c r="FO3" s="162"/>
      <c r="FP3" s="162"/>
      <c r="FQ3" s="162"/>
      <c r="FR3" s="162"/>
      <c r="FS3" s="162"/>
      <c r="FT3" s="162"/>
      <c r="FU3" s="162"/>
      <c r="FV3" s="162"/>
      <c r="FW3" s="162"/>
      <c r="FX3" s="162"/>
      <c r="FY3" s="162"/>
      <c r="FZ3" s="162"/>
      <c r="GA3" s="162"/>
      <c r="GB3" s="162"/>
      <c r="GC3" s="162"/>
      <c r="GD3" s="162"/>
      <c r="GE3" s="162"/>
      <c r="GF3" s="162"/>
      <c r="GG3" s="162"/>
      <c r="GH3" s="162"/>
      <c r="GI3" s="162"/>
      <c r="GJ3" s="162"/>
      <c r="GK3" s="162"/>
      <c r="GL3" s="162"/>
      <c r="GM3" s="162"/>
      <c r="GN3" s="162"/>
      <c r="GO3" s="162"/>
      <c r="GP3" s="162"/>
      <c r="GQ3" s="162"/>
      <c r="GR3" s="162"/>
      <c r="GS3" s="162"/>
      <c r="GT3" s="162"/>
      <c r="GU3" s="162"/>
      <c r="GV3" s="162"/>
      <c r="GW3" s="162"/>
      <c r="GX3" s="162"/>
      <c r="GY3" s="162"/>
      <c r="GZ3" s="162"/>
      <c r="HA3" s="162"/>
      <c r="HB3" s="162"/>
      <c r="HC3" s="162"/>
      <c r="HD3" s="162"/>
      <c r="HE3" s="162"/>
      <c r="HF3" s="162"/>
      <c r="HG3" s="162"/>
      <c r="HH3" s="162"/>
      <c r="HI3" s="162"/>
      <c r="HJ3" s="162"/>
      <c r="HK3" s="162"/>
      <c r="HL3" s="162"/>
      <c r="HM3" s="162"/>
      <c r="HN3" s="162"/>
      <c r="HO3" s="162"/>
      <c r="HP3" s="162"/>
      <c r="HQ3" s="162"/>
      <c r="HR3" s="162"/>
      <c r="HS3" s="162"/>
      <c r="HT3" s="162"/>
      <c r="HU3" s="162"/>
      <c r="HV3" s="162"/>
      <c r="HW3" s="162"/>
      <c r="HX3" s="162"/>
      <c r="HY3" s="162"/>
      <c r="HZ3" s="162"/>
      <c r="IA3" s="162"/>
      <c r="IB3" s="162"/>
      <c r="IC3" s="162"/>
      <c r="ID3" s="162"/>
      <c r="IE3" s="162"/>
      <c r="IF3" s="162"/>
      <c r="IG3" s="162"/>
      <c r="IH3" s="162"/>
      <c r="II3" s="162"/>
      <c r="IJ3" s="162"/>
      <c r="IK3" s="162"/>
      <c r="IL3" s="162"/>
      <c r="IM3" s="162"/>
      <c r="IN3" s="162"/>
      <c r="IO3" s="162"/>
      <c r="IP3" s="162"/>
      <c r="IQ3" s="162"/>
      <c r="IR3" s="162"/>
      <c r="IS3" s="162"/>
      <c r="IT3" s="162"/>
      <c r="IU3" s="445">
        <v>4</v>
      </c>
    </row>
    <row r="4" spans="1:255" s="2019" customFormat="1" ht="14.65" customHeight="1">
      <c r="A4" s="1072"/>
      <c r="B4" s="1077"/>
      <c r="C4" s="1072"/>
      <c r="D4" s="1412"/>
      <c r="E4" s="443"/>
      <c r="F4" s="1559"/>
      <c r="G4" s="443"/>
      <c r="H4" s="443"/>
      <c r="I4" s="443"/>
      <c r="J4" s="101"/>
      <c r="K4" s="182"/>
      <c r="L4" s="434"/>
      <c r="M4" s="434"/>
      <c r="N4" s="434"/>
      <c r="O4" s="161"/>
      <c r="P4" s="434"/>
      <c r="Q4" s="160"/>
      <c r="R4" s="160"/>
      <c r="S4" s="160"/>
      <c r="T4" s="160"/>
      <c r="IU4" s="441">
        <v>14</v>
      </c>
    </row>
    <row r="5" spans="1:255" s="2019" customFormat="1" ht="27.25" customHeight="1">
      <c r="A5" s="1072"/>
      <c r="B5" s="1077"/>
      <c r="C5" s="1072"/>
      <c r="D5" s="1412"/>
      <c r="E5" s="3043"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3043"/>
      <c r="G5" s="3043"/>
      <c r="H5" s="3043"/>
      <c r="I5" s="3043"/>
      <c r="J5" s="3043"/>
      <c r="K5" s="182"/>
      <c r="L5" s="434"/>
      <c r="M5" s="434"/>
      <c r="N5" s="434"/>
      <c r="O5" s="161"/>
      <c r="P5" s="434"/>
      <c r="Q5" s="160"/>
      <c r="R5" s="160"/>
      <c r="S5" s="160"/>
      <c r="T5" s="160"/>
      <c r="IU5" s="441">
        <v>26</v>
      </c>
    </row>
    <row r="6" spans="1:255" s="2019" customFormat="1" ht="14.65" customHeight="1">
      <c r="A6" s="1072"/>
      <c r="B6" s="1077"/>
      <c r="C6" s="1072"/>
      <c r="D6" s="1412"/>
      <c r="E6" s="443"/>
      <c r="F6" s="102"/>
      <c r="G6" s="102"/>
      <c r="H6" s="102"/>
      <c r="I6" s="102"/>
      <c r="J6" s="103"/>
      <c r="K6" s="434"/>
      <c r="L6" s="434"/>
      <c r="M6" s="434"/>
      <c r="N6" s="434"/>
      <c r="O6" s="161"/>
      <c r="P6" s="434"/>
      <c r="Q6" s="160"/>
      <c r="R6" s="160"/>
      <c r="S6" s="160"/>
      <c r="T6" s="160"/>
      <c r="IU6" s="441">
        <v>14</v>
      </c>
    </row>
    <row r="7" spans="1:255" s="2019" customFormat="1" ht="14.65" customHeight="1">
      <c r="A7" s="1072"/>
      <c r="B7" s="1077"/>
      <c r="C7" s="1072"/>
      <c r="D7" s="1412"/>
      <c r="E7" s="3038" t="s">
        <v>335</v>
      </c>
      <c r="F7" s="3044"/>
      <c r="G7" s="3044"/>
      <c r="H7" s="3044"/>
      <c r="I7" s="3044"/>
      <c r="J7" s="3364" t="s">
        <v>336</v>
      </c>
      <c r="K7" s="434"/>
      <c r="L7" s="434"/>
      <c r="M7" s="434"/>
      <c r="N7" s="434"/>
      <c r="O7" s="161"/>
      <c r="P7" s="434"/>
      <c r="Q7" s="160"/>
      <c r="R7" s="160"/>
      <c r="S7" s="160"/>
      <c r="T7" s="160"/>
      <c r="IU7" s="441">
        <v>14</v>
      </c>
    </row>
    <row r="8" spans="1:255" s="2019" customFormat="1" ht="21" customHeight="1">
      <c r="A8" s="1072"/>
      <c r="B8" s="1077"/>
      <c r="C8" s="1072"/>
      <c r="D8" s="1412"/>
      <c r="E8" s="1465" t="s">
        <v>89</v>
      </c>
      <c r="F8" s="1457" t="s">
        <v>1903</v>
      </c>
      <c r="G8" s="1457" t="s">
        <v>49</v>
      </c>
      <c r="H8" s="1457" t="s">
        <v>51</v>
      </c>
      <c r="I8" s="1457" t="s">
        <v>1904</v>
      </c>
      <c r="J8" s="3365"/>
      <c r="K8" s="434"/>
      <c r="L8" s="434"/>
      <c r="M8" s="434"/>
      <c r="N8" s="434"/>
      <c r="O8" s="161"/>
      <c r="P8" s="434"/>
      <c r="Q8" s="160"/>
      <c r="R8" s="160"/>
      <c r="S8" s="160"/>
      <c r="T8" s="160"/>
      <c r="IU8" s="441">
        <v>20</v>
      </c>
    </row>
    <row r="9" spans="1:255" s="2021" customFormat="1" ht="23.25" customHeight="1">
      <c r="A9" s="1548"/>
      <c r="B9" s="1077">
        <v>1</v>
      </c>
      <c r="C9" s="1077"/>
      <c r="D9" s="729"/>
      <c r="E9" s="1401">
        <v>1</v>
      </c>
      <c r="F9" s="1464"/>
      <c r="G9" s="1408"/>
      <c r="H9" s="1408"/>
      <c r="I9" s="1455"/>
      <c r="J9" s="3124"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xml:space="preserve">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452"/>
      <c r="L9" s="445"/>
      <c r="M9" s="445"/>
      <c r="N9" s="434" t="str">
        <f t="array" ref="N9">IF(ISERROR(MATCH(MID(O9,1,250),MID(note_ter,1,250),0)),"n","y")</f>
        <v>n</v>
      </c>
      <c r="O9" s="445"/>
      <c r="P9" s="434"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077"/>
      <c r="R9" s="1077"/>
      <c r="S9" s="354"/>
      <c r="T9" s="1077"/>
      <c r="U9" s="1077"/>
      <c r="V9" s="1077"/>
      <c r="W9" s="356"/>
      <c r="X9" s="356"/>
      <c r="Y9" s="353"/>
      <c r="Z9" s="353"/>
      <c r="AA9" s="353"/>
      <c r="AB9" s="353"/>
      <c r="AC9" s="353"/>
      <c r="AD9" s="353"/>
      <c r="AE9" s="353"/>
      <c r="AF9" s="353"/>
      <c r="AG9" s="353"/>
      <c r="AH9" s="353"/>
      <c r="AI9" s="353"/>
      <c r="AJ9" s="353"/>
      <c r="AK9" s="353"/>
      <c r="AL9" s="353"/>
      <c r="AM9" s="353"/>
      <c r="AN9" s="353"/>
      <c r="AO9" s="353"/>
      <c r="AP9" s="353"/>
      <c r="AQ9" s="353"/>
      <c r="AR9" s="353"/>
      <c r="AS9" s="353"/>
      <c r="AT9" s="353"/>
      <c r="AU9" s="353"/>
      <c r="AV9" s="353"/>
      <c r="AW9" s="353"/>
      <c r="AX9" s="353"/>
      <c r="AY9" s="353"/>
      <c r="AZ9" s="353"/>
      <c r="BA9" s="353"/>
      <c r="BB9" s="353"/>
      <c r="BC9" s="353"/>
      <c r="BD9" s="353"/>
      <c r="BE9" s="353"/>
      <c r="BF9" s="353"/>
      <c r="BG9" s="353"/>
      <c r="BH9" s="353"/>
      <c r="BI9" s="353"/>
      <c r="BJ9" s="353"/>
      <c r="BK9" s="353"/>
      <c r="BL9" s="353"/>
      <c r="BM9" s="353"/>
      <c r="BN9" s="353"/>
      <c r="BO9" s="353"/>
      <c r="BP9" s="353"/>
      <c r="BQ9" s="353"/>
      <c r="BR9" s="353"/>
      <c r="BS9" s="353"/>
      <c r="BT9" s="356"/>
      <c r="BU9" s="356"/>
      <c r="BV9" s="356"/>
      <c r="BW9" s="356"/>
      <c r="BX9" s="356"/>
      <c r="BY9" s="356"/>
      <c r="BZ9" s="356"/>
      <c r="CA9" s="356"/>
      <c r="CB9" s="356"/>
      <c r="CC9" s="356"/>
      <c r="IU9" s="357">
        <v>22</v>
      </c>
    </row>
    <row r="10" spans="1:255" s="2021" customFormat="1" ht="15.75" customHeight="1">
      <c r="A10" s="1548"/>
      <c r="B10" s="1077"/>
      <c r="C10" s="346"/>
      <c r="D10" s="729"/>
      <c r="E10" s="1458"/>
      <c r="F10" s="1417" t="s">
        <v>1905</v>
      </c>
      <c r="G10" s="1459"/>
      <c r="H10" s="1459"/>
      <c r="I10" s="1813"/>
      <c r="J10" s="3126"/>
      <c r="K10" s="1453"/>
      <c r="L10" s="445"/>
      <c r="M10" s="445"/>
      <c r="N10" s="445"/>
      <c r="O10" s="434"/>
      <c r="P10" s="445"/>
      <c r="Q10" s="1077"/>
      <c r="R10" s="1077"/>
      <c r="S10" s="354"/>
      <c r="T10" s="1077"/>
      <c r="U10" s="1077"/>
      <c r="V10" s="1077"/>
      <c r="W10" s="356"/>
      <c r="X10" s="356"/>
      <c r="Y10" s="353"/>
      <c r="Z10" s="353"/>
      <c r="AA10" s="353"/>
      <c r="AB10" s="353"/>
      <c r="AC10" s="353"/>
      <c r="AD10" s="353"/>
      <c r="AE10" s="353"/>
      <c r="AF10" s="353"/>
      <c r="AG10" s="353"/>
      <c r="AH10" s="353"/>
      <c r="AI10" s="353"/>
      <c r="AJ10" s="353"/>
      <c r="AK10" s="353"/>
      <c r="AL10" s="353"/>
      <c r="AM10" s="353"/>
      <c r="AN10" s="353"/>
      <c r="AO10" s="353"/>
      <c r="AP10" s="353"/>
      <c r="AQ10" s="353"/>
      <c r="AR10" s="353"/>
      <c r="AS10" s="353"/>
      <c r="AT10" s="353"/>
      <c r="AU10" s="353"/>
      <c r="AV10" s="353"/>
      <c r="AW10" s="353"/>
      <c r="AX10" s="353"/>
      <c r="AY10" s="353"/>
      <c r="AZ10" s="353"/>
      <c r="BA10" s="353"/>
      <c r="BB10" s="353"/>
      <c r="BC10" s="353"/>
      <c r="BD10" s="353"/>
      <c r="BE10" s="353"/>
      <c r="BF10" s="353"/>
      <c r="BG10" s="353"/>
      <c r="BH10" s="353"/>
      <c r="BI10" s="353"/>
      <c r="BJ10" s="353"/>
      <c r="BK10" s="353"/>
      <c r="BL10" s="353"/>
      <c r="BM10" s="353"/>
      <c r="BN10" s="353"/>
      <c r="BO10" s="353"/>
      <c r="BP10" s="353"/>
      <c r="BQ10" s="353"/>
      <c r="BR10" s="353"/>
      <c r="BS10" s="353"/>
      <c r="BT10" s="356"/>
      <c r="BU10" s="356"/>
      <c r="BV10" s="356"/>
      <c r="BW10" s="356"/>
      <c r="BX10" s="356"/>
      <c r="BY10" s="356"/>
      <c r="BZ10" s="356"/>
      <c r="CA10" s="356"/>
      <c r="CB10" s="356"/>
      <c r="CC10" s="356"/>
      <c r="IU10" s="357">
        <v>15</v>
      </c>
    </row>
    <row r="11" spans="1:255" s="2019" customFormat="1" ht="22" customHeight="1">
      <c r="A11" s="1072"/>
      <c r="B11" s="1077"/>
      <c r="C11" s="1072"/>
      <c r="D11" s="385"/>
      <c r="E11" s="115"/>
      <c r="F11" s="115"/>
      <c r="G11" s="115"/>
      <c r="H11" s="115"/>
      <c r="I11" s="115"/>
      <c r="J11" s="115"/>
      <c r="K11" s="434"/>
      <c r="L11" s="434"/>
      <c r="M11" s="434"/>
      <c r="N11" s="434"/>
      <c r="O11" s="161"/>
      <c r="P11" s="434"/>
      <c r="Q11" s="160"/>
      <c r="R11" s="160"/>
      <c r="S11" s="160"/>
      <c r="T11" s="160"/>
      <c r="IU11" s="441">
        <v>21</v>
      </c>
    </row>
    <row r="12" spans="1:255" s="2019" customFormat="1" ht="14.65" customHeight="1">
      <c r="A12" s="1072"/>
      <c r="B12" s="1077"/>
      <c r="C12" s="1072"/>
      <c r="D12" s="385"/>
      <c r="E12" s="1072"/>
      <c r="F12" s="1072"/>
      <c r="G12" s="1072"/>
      <c r="H12" s="1072"/>
      <c r="I12" s="1072"/>
      <c r="J12" s="1072"/>
      <c r="K12" s="434"/>
      <c r="L12" s="434"/>
      <c r="M12" s="434"/>
      <c r="N12" s="434"/>
      <c r="O12" s="161"/>
      <c r="P12" s="434"/>
      <c r="Q12" s="160"/>
      <c r="R12" s="160"/>
      <c r="S12" s="160"/>
      <c r="T12" s="160"/>
      <c r="IU12" s="441">
        <v>14</v>
      </c>
    </row>
    <row r="13" spans="1:255" s="2019" customFormat="1" ht="1" customHeight="1">
      <c r="A13" s="1072"/>
      <c r="B13" s="1077"/>
      <c r="C13" s="1072"/>
      <c r="D13" s="385"/>
      <c r="E13" s="1072"/>
      <c r="F13" s="1072"/>
      <c r="G13" s="1072"/>
      <c r="H13" s="1072"/>
      <c r="I13" s="1072"/>
      <c r="J13" s="1072"/>
      <c r="K13" s="434"/>
      <c r="L13" s="434"/>
      <c r="M13" s="434"/>
      <c r="N13" s="434"/>
      <c r="O13" s="161"/>
      <c r="P13" s="434"/>
      <c r="Q13" s="160"/>
      <c r="R13" s="160"/>
      <c r="S13" s="160"/>
      <c r="T13" s="160"/>
      <c r="IU13" s="441">
        <v>1</v>
      </c>
    </row>
    <row r="14" spans="1:255" s="2024" customFormat="1" ht="10.5" customHeight="1">
      <c r="B14" s="762"/>
      <c r="D14" s="117"/>
      <c r="K14" s="434"/>
      <c r="L14" s="434"/>
      <c r="M14" s="434"/>
      <c r="N14" s="434"/>
      <c r="O14" s="161"/>
      <c r="P14" s="434"/>
      <c r="Q14" s="160"/>
      <c r="R14" s="160"/>
      <c r="S14" s="160"/>
      <c r="T14" s="160"/>
      <c r="IU14" s="116">
        <v>10</v>
      </c>
    </row>
    <row r="15" spans="1:255" s="2024" customFormat="1" ht="10.5" customHeight="1">
      <c r="B15" s="762"/>
      <c r="D15" s="117"/>
      <c r="K15" s="434"/>
      <c r="L15" s="434"/>
      <c r="M15" s="434"/>
      <c r="N15" s="434"/>
      <c r="O15" s="161"/>
      <c r="P15" s="434"/>
      <c r="Q15" s="160"/>
      <c r="R15" s="160"/>
      <c r="S15" s="160"/>
      <c r="T15" s="160"/>
      <c r="IU15" s="116">
        <v>10</v>
      </c>
    </row>
    <row r="16" spans="1:255" ht="14.65" customHeight="1">
      <c r="IU16" s="1072">
        <v>14</v>
      </c>
    </row>
    <row r="17" spans="1:255" ht="14.65" customHeight="1">
      <c r="IU17" s="1072">
        <v>14</v>
      </c>
    </row>
    <row r="18" spans="1:255" ht="14.65" customHeight="1">
      <c r="IU18" s="1072">
        <v>14</v>
      </c>
    </row>
    <row r="19" spans="1:255" ht="14.65" customHeight="1">
      <c r="G19" s="307"/>
      <c r="H19" s="307"/>
      <c r="I19" s="307"/>
      <c r="IU19" s="1072">
        <v>14</v>
      </c>
    </row>
    <row r="20" spans="1:255" ht="14.65" customHeight="1">
      <c r="IU20" s="1072">
        <v>14</v>
      </c>
    </row>
    <row r="21" spans="1:255" ht="14.65" customHeight="1">
      <c r="IU21" s="1072">
        <v>14</v>
      </c>
    </row>
    <row r="22" spans="1:255" ht="14.65" customHeight="1">
      <c r="IU22" s="1072">
        <v>14</v>
      </c>
    </row>
    <row r="23" spans="1:255" ht="14.65" customHeight="1">
      <c r="K23" s="1072"/>
      <c r="L23" s="1072"/>
      <c r="M23" s="1072"/>
      <c r="IU23" s="1072">
        <v>14</v>
      </c>
    </row>
    <row r="24" spans="1:255" ht="22.5" hidden="1" customHeight="1">
      <c r="A24" s="1072" t="s">
        <v>83</v>
      </c>
      <c r="B24" s="1077">
        <v>0</v>
      </c>
      <c r="C24" s="1072">
        <v>0</v>
      </c>
      <c r="D24" s="385">
        <v>3</v>
      </c>
      <c r="E24" s="1072">
        <v>6</v>
      </c>
      <c r="F24" s="1072">
        <v>46</v>
      </c>
      <c r="G24" s="1072">
        <v>16</v>
      </c>
      <c r="H24" s="1072">
        <v>16</v>
      </c>
      <c r="I24" s="1072">
        <v>35</v>
      </c>
      <c r="J24" s="1072">
        <v>89</v>
      </c>
      <c r="K24" s="434">
        <v>3</v>
      </c>
      <c r="L24" s="434">
        <v>8</v>
      </c>
      <c r="M24" s="434">
        <v>8</v>
      </c>
      <c r="N24" s="434">
        <v>8</v>
      </c>
      <c r="O24" s="161">
        <v>25</v>
      </c>
      <c r="P24" s="434">
        <v>14</v>
      </c>
      <c r="Q24" s="160">
        <v>8</v>
      </c>
      <c r="R24" s="160">
        <v>8</v>
      </c>
      <c r="S24" s="160">
        <v>8</v>
      </c>
      <c r="T24" s="160">
        <v>8</v>
      </c>
      <c r="U24" s="1072">
        <v>8</v>
      </c>
      <c r="V24" s="1072">
        <v>8</v>
      </c>
      <c r="W24" s="1072">
        <v>8</v>
      </c>
      <c r="X24" s="1072">
        <v>8</v>
      </c>
      <c r="Y24" s="1072">
        <v>8</v>
      </c>
      <c r="Z24" s="1072">
        <v>8</v>
      </c>
      <c r="AA24" s="1072">
        <v>8</v>
      </c>
      <c r="AB24" s="1072">
        <v>8</v>
      </c>
      <c r="AC24" s="1072">
        <v>8</v>
      </c>
      <c r="AD24" s="1072">
        <v>8</v>
      </c>
      <c r="AE24" s="1072">
        <v>8</v>
      </c>
      <c r="AF24" s="1072">
        <v>8</v>
      </c>
      <c r="AG24" s="1072">
        <v>8</v>
      </c>
      <c r="AH24" s="1072">
        <v>8</v>
      </c>
      <c r="AI24" s="1072">
        <v>8</v>
      </c>
      <c r="AJ24" s="1072">
        <v>8</v>
      </c>
      <c r="AK24" s="1072">
        <v>8</v>
      </c>
      <c r="AL24" s="1072">
        <v>8</v>
      </c>
      <c r="AM24" s="1072">
        <v>8</v>
      </c>
      <c r="AN24" s="1072">
        <v>8</v>
      </c>
      <c r="AO24" s="1072">
        <v>8</v>
      </c>
      <c r="AP24" s="1072">
        <v>8</v>
      </c>
      <c r="AQ24" s="1072">
        <v>8</v>
      </c>
      <c r="AR24" s="1072">
        <v>8</v>
      </c>
      <c r="AS24" s="1072">
        <v>8</v>
      </c>
      <c r="AT24" s="1072">
        <v>8</v>
      </c>
      <c r="AU24" s="1072">
        <v>8</v>
      </c>
      <c r="AV24" s="1072">
        <v>8</v>
      </c>
      <c r="AW24" s="1072">
        <v>8</v>
      </c>
      <c r="AX24" s="1072">
        <v>8</v>
      </c>
      <c r="AY24" s="1072">
        <v>8</v>
      </c>
      <c r="AZ24" s="1072">
        <v>8</v>
      </c>
      <c r="BA24" s="1072">
        <v>8</v>
      </c>
      <c r="BB24" s="1072">
        <v>8</v>
      </c>
      <c r="BC24" s="1072">
        <v>8</v>
      </c>
      <c r="BD24" s="1072">
        <v>8</v>
      </c>
      <c r="BE24" s="1072">
        <v>8</v>
      </c>
      <c r="BF24" s="1072">
        <v>8</v>
      </c>
      <c r="BG24" s="1072">
        <v>8</v>
      </c>
      <c r="BH24" s="1072">
        <v>8</v>
      </c>
      <c r="BI24" s="1072">
        <v>8</v>
      </c>
      <c r="BJ24" s="1072">
        <v>8</v>
      </c>
      <c r="BK24" s="1072">
        <v>8</v>
      </c>
      <c r="BL24" s="1072">
        <v>8</v>
      </c>
      <c r="BM24" s="1072">
        <v>8</v>
      </c>
      <c r="BN24" s="1072">
        <v>8</v>
      </c>
      <c r="BO24" s="1072">
        <v>8</v>
      </c>
      <c r="BP24" s="1072">
        <v>8</v>
      </c>
      <c r="BQ24" s="1072">
        <v>8</v>
      </c>
      <c r="BR24" s="1072">
        <v>8</v>
      </c>
      <c r="BS24" s="1072">
        <v>8</v>
      </c>
      <c r="BT24" s="1072">
        <v>8</v>
      </c>
      <c r="BU24" s="1072">
        <v>8</v>
      </c>
      <c r="BV24" s="1072">
        <v>8</v>
      </c>
      <c r="BW24" s="1072">
        <v>8</v>
      </c>
      <c r="BX24" s="1072">
        <v>8</v>
      </c>
      <c r="BY24" s="1072">
        <v>8</v>
      </c>
      <c r="BZ24" s="1072">
        <v>8</v>
      </c>
      <c r="CA24" s="1072">
        <v>8</v>
      </c>
      <c r="CB24" s="1072">
        <v>8</v>
      </c>
      <c r="CC24" s="1072">
        <v>8</v>
      </c>
      <c r="CD24" s="1072">
        <v>8</v>
      </c>
      <c r="CE24" s="1072">
        <v>8</v>
      </c>
      <c r="CF24" s="1072">
        <v>8</v>
      </c>
      <c r="CG24" s="1072">
        <v>8</v>
      </c>
      <c r="CH24" s="1072">
        <v>8</v>
      </c>
      <c r="CI24" s="1072">
        <v>8</v>
      </c>
      <c r="CJ24" s="1072">
        <v>8</v>
      </c>
      <c r="CK24" s="1072">
        <v>8</v>
      </c>
      <c r="CL24" s="1072">
        <v>8</v>
      </c>
      <c r="CM24" s="1072">
        <v>8</v>
      </c>
      <c r="CN24" s="1072">
        <v>8</v>
      </c>
      <c r="CO24" s="1072">
        <v>8</v>
      </c>
      <c r="CP24" s="1072">
        <v>8</v>
      </c>
      <c r="CQ24" s="1072">
        <v>8</v>
      </c>
      <c r="CR24" s="1072">
        <v>8</v>
      </c>
      <c r="CS24" s="1072">
        <v>8</v>
      </c>
      <c r="CT24" s="1072">
        <v>8</v>
      </c>
      <c r="CU24" s="1072">
        <v>8</v>
      </c>
      <c r="CV24" s="1072">
        <v>8</v>
      </c>
      <c r="CW24" s="1072">
        <v>8</v>
      </c>
      <c r="CX24" s="1072">
        <v>8</v>
      </c>
      <c r="CY24" s="1072">
        <v>8</v>
      </c>
      <c r="CZ24" s="1072">
        <v>8</v>
      </c>
      <c r="DA24" s="1072">
        <v>8</v>
      </c>
      <c r="DB24" s="1072">
        <v>8</v>
      </c>
      <c r="DC24" s="1072">
        <v>8</v>
      </c>
      <c r="DD24" s="1072">
        <v>8</v>
      </c>
      <c r="DE24" s="1072">
        <v>8</v>
      </c>
      <c r="DF24" s="1072">
        <v>8</v>
      </c>
      <c r="DG24" s="1072">
        <v>8</v>
      </c>
      <c r="DH24" s="1072">
        <v>8</v>
      </c>
      <c r="DI24" s="1072">
        <v>8</v>
      </c>
      <c r="DJ24" s="1072">
        <v>8</v>
      </c>
      <c r="DK24" s="1072">
        <v>8</v>
      </c>
      <c r="DL24" s="1072">
        <v>8</v>
      </c>
      <c r="DM24" s="1072">
        <v>8</v>
      </c>
      <c r="DN24" s="1072">
        <v>8</v>
      </c>
      <c r="DO24" s="1072">
        <v>8</v>
      </c>
      <c r="DP24" s="1072">
        <v>8</v>
      </c>
      <c r="DQ24" s="1072">
        <v>8</v>
      </c>
      <c r="DR24" s="1072">
        <v>8</v>
      </c>
      <c r="DS24" s="1072">
        <v>8</v>
      </c>
      <c r="DT24" s="1072">
        <v>8</v>
      </c>
      <c r="DU24" s="1072">
        <v>8</v>
      </c>
      <c r="DV24" s="1072">
        <v>8</v>
      </c>
      <c r="DW24" s="1072">
        <v>8</v>
      </c>
      <c r="DX24" s="1072">
        <v>8</v>
      </c>
      <c r="DY24" s="1072">
        <v>8</v>
      </c>
      <c r="DZ24" s="1072">
        <v>8</v>
      </c>
      <c r="EA24" s="1072">
        <v>8</v>
      </c>
      <c r="EB24" s="1072">
        <v>8</v>
      </c>
      <c r="EC24" s="1072">
        <v>8</v>
      </c>
      <c r="ED24" s="1072">
        <v>8</v>
      </c>
      <c r="EE24" s="1072">
        <v>8</v>
      </c>
      <c r="EF24" s="1072">
        <v>8</v>
      </c>
      <c r="EG24" s="1072">
        <v>8</v>
      </c>
      <c r="EH24" s="1072">
        <v>8</v>
      </c>
      <c r="EI24" s="1072">
        <v>8</v>
      </c>
      <c r="EJ24" s="1072">
        <v>8</v>
      </c>
      <c r="EK24" s="1072">
        <v>8</v>
      </c>
      <c r="EL24" s="1072">
        <v>8</v>
      </c>
      <c r="EM24" s="1072">
        <v>8</v>
      </c>
      <c r="EN24" s="1072">
        <v>8</v>
      </c>
      <c r="EO24" s="1072">
        <v>8</v>
      </c>
      <c r="EP24" s="1072">
        <v>8</v>
      </c>
      <c r="EQ24" s="1072">
        <v>8</v>
      </c>
      <c r="ER24" s="1072">
        <v>8</v>
      </c>
      <c r="ES24" s="1072">
        <v>8</v>
      </c>
      <c r="ET24" s="1072">
        <v>8</v>
      </c>
      <c r="EU24" s="1072">
        <v>8</v>
      </c>
      <c r="EV24" s="1072">
        <v>8</v>
      </c>
      <c r="EW24" s="1072">
        <v>8</v>
      </c>
      <c r="EX24" s="1072">
        <v>8</v>
      </c>
      <c r="EY24" s="1072">
        <v>8</v>
      </c>
      <c r="EZ24" s="1072">
        <v>8</v>
      </c>
      <c r="FA24" s="1072">
        <v>8</v>
      </c>
      <c r="FB24" s="1072">
        <v>8</v>
      </c>
      <c r="FC24" s="1072">
        <v>8</v>
      </c>
      <c r="FD24" s="1072">
        <v>8</v>
      </c>
      <c r="FE24" s="1072">
        <v>8</v>
      </c>
      <c r="FF24" s="1072">
        <v>8</v>
      </c>
      <c r="FG24" s="1072">
        <v>8</v>
      </c>
      <c r="FH24" s="1072">
        <v>8</v>
      </c>
      <c r="FI24" s="1072">
        <v>8</v>
      </c>
      <c r="FJ24" s="1072">
        <v>8</v>
      </c>
      <c r="FK24" s="1072">
        <v>8</v>
      </c>
      <c r="FL24" s="1072">
        <v>8</v>
      </c>
      <c r="FM24" s="1072">
        <v>8</v>
      </c>
      <c r="FN24" s="1072">
        <v>8</v>
      </c>
      <c r="FO24" s="1072">
        <v>8</v>
      </c>
      <c r="FP24" s="1072">
        <v>8</v>
      </c>
      <c r="FQ24" s="1072">
        <v>8</v>
      </c>
      <c r="FR24" s="1072">
        <v>8</v>
      </c>
      <c r="FS24" s="1072">
        <v>8</v>
      </c>
      <c r="FT24" s="1072">
        <v>8</v>
      </c>
      <c r="FU24" s="1072">
        <v>8</v>
      </c>
      <c r="FV24" s="1072">
        <v>8</v>
      </c>
      <c r="FW24" s="1072">
        <v>8</v>
      </c>
      <c r="FX24" s="1072">
        <v>8</v>
      </c>
      <c r="FY24" s="1072">
        <v>8</v>
      </c>
      <c r="FZ24" s="1072">
        <v>8</v>
      </c>
      <c r="GA24" s="1072">
        <v>8</v>
      </c>
      <c r="GB24" s="1072">
        <v>8</v>
      </c>
      <c r="GC24" s="1072">
        <v>8</v>
      </c>
      <c r="GD24" s="1072">
        <v>8</v>
      </c>
      <c r="GE24" s="1072">
        <v>8</v>
      </c>
      <c r="GF24" s="1072">
        <v>8</v>
      </c>
      <c r="GG24" s="1072">
        <v>8</v>
      </c>
      <c r="GH24" s="1072">
        <v>8</v>
      </c>
      <c r="GI24" s="1072">
        <v>8</v>
      </c>
      <c r="GJ24" s="1072">
        <v>8</v>
      </c>
      <c r="GK24" s="1072">
        <v>8</v>
      </c>
      <c r="GL24" s="1072">
        <v>8</v>
      </c>
      <c r="GM24" s="1072">
        <v>8</v>
      </c>
      <c r="GN24" s="1072">
        <v>8</v>
      </c>
      <c r="GO24" s="1072">
        <v>8</v>
      </c>
      <c r="GP24" s="1072">
        <v>8</v>
      </c>
      <c r="GQ24" s="1072">
        <v>8</v>
      </c>
      <c r="GR24" s="1072">
        <v>8</v>
      </c>
      <c r="GS24" s="1072">
        <v>8</v>
      </c>
      <c r="GT24" s="1072">
        <v>8</v>
      </c>
      <c r="GU24" s="1072">
        <v>8</v>
      </c>
      <c r="GV24" s="1072">
        <v>8</v>
      </c>
      <c r="GW24" s="1072">
        <v>8</v>
      </c>
      <c r="GX24" s="1072">
        <v>8</v>
      </c>
      <c r="GY24" s="1072">
        <v>8</v>
      </c>
      <c r="GZ24" s="1072">
        <v>8</v>
      </c>
      <c r="HA24" s="1072">
        <v>8</v>
      </c>
      <c r="HB24" s="1072">
        <v>8</v>
      </c>
      <c r="HC24" s="1072">
        <v>8</v>
      </c>
      <c r="HD24" s="1072">
        <v>8</v>
      </c>
      <c r="HE24" s="1072">
        <v>8</v>
      </c>
      <c r="HF24" s="1072">
        <v>8</v>
      </c>
      <c r="HG24" s="1072">
        <v>8</v>
      </c>
      <c r="HH24" s="1072">
        <v>8</v>
      </c>
      <c r="HI24" s="1072">
        <v>8</v>
      </c>
      <c r="HJ24" s="1072">
        <v>8</v>
      </c>
      <c r="HK24" s="1072">
        <v>8</v>
      </c>
      <c r="HL24" s="1072">
        <v>8</v>
      </c>
      <c r="HM24" s="1072">
        <v>8</v>
      </c>
      <c r="HN24" s="1072">
        <v>8</v>
      </c>
      <c r="HO24" s="1072">
        <v>8</v>
      </c>
      <c r="HP24" s="1072">
        <v>8</v>
      </c>
      <c r="HQ24" s="1072">
        <v>8</v>
      </c>
      <c r="HR24" s="1072">
        <v>8</v>
      </c>
      <c r="HS24" s="1072">
        <v>8</v>
      </c>
      <c r="HT24" s="1072">
        <v>8</v>
      </c>
      <c r="HU24" s="1072">
        <v>8</v>
      </c>
      <c r="HV24" s="1072">
        <v>8</v>
      </c>
      <c r="HW24" s="1072">
        <v>8</v>
      </c>
      <c r="HX24" s="1072">
        <v>8</v>
      </c>
      <c r="HY24" s="1072">
        <v>8</v>
      </c>
      <c r="HZ24" s="1072">
        <v>8</v>
      </c>
      <c r="IA24" s="1072">
        <v>8</v>
      </c>
      <c r="IB24" s="1072">
        <v>8</v>
      </c>
      <c r="IC24" s="1072">
        <v>8</v>
      </c>
      <c r="ID24" s="1072">
        <v>8</v>
      </c>
      <c r="IE24" s="1072">
        <v>8</v>
      </c>
      <c r="IF24" s="1072">
        <v>8</v>
      </c>
      <c r="IG24" s="1072">
        <v>8</v>
      </c>
      <c r="IH24" s="1072">
        <v>8</v>
      </c>
      <c r="II24" s="1072">
        <v>8</v>
      </c>
      <c r="IJ24" s="1072">
        <v>8</v>
      </c>
      <c r="IK24" s="1072">
        <v>8</v>
      </c>
      <c r="IL24" s="1072">
        <v>8</v>
      </c>
      <c r="IM24" s="1072">
        <v>8</v>
      </c>
      <c r="IN24" s="1072">
        <v>8</v>
      </c>
      <c r="IO24" s="1072">
        <v>8</v>
      </c>
      <c r="IP24" s="1072">
        <v>8</v>
      </c>
      <c r="IQ24" s="1072">
        <v>8</v>
      </c>
      <c r="IR24" s="1072">
        <v>8</v>
      </c>
      <c r="IS24" s="1072">
        <v>8</v>
      </c>
      <c r="IT24" s="1072">
        <v>8</v>
      </c>
      <c r="IU24" s="1072">
        <v>23</v>
      </c>
    </row>
  </sheetData>
  <sheetProtection formatColumns="0" formatRows="0" insertRows="0" deleteColumns="0" deleteRows="0" sort="0" autoFilter="0"/>
  <mergeCells count="4">
    <mergeCell ref="E5:J5"/>
    <mergeCell ref="E7:I7"/>
    <mergeCell ref="J7:J8"/>
    <mergeCell ref="J9:J10"/>
  </mergeCells>
  <dataValidations count="2">
    <dataValidation type="textLength" allowBlank="1" showInputMessage="1" showErrorMessage="1" sqref="I3" xr:uid="{00000000-0002-0000-3400-000000000000}">
      <formula1>13</formula1>
      <formula2>15</formula2>
    </dataValidation>
    <dataValidation type="textLength" allowBlank="1" showInputMessage="1" showErrorMessage="1" prompt="ОГРН состоит из 13 цифр, ОГРНИП - из 15" sqref="I9 I2" xr:uid="{00000000-0002-0000-3400-000001000000}">
      <formula1>13</formula1>
      <formula2>15</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A8C3C-3633-0EE5-59EF-AA7EED706792}">
  <dimension ref="A1:IW15"/>
  <sheetViews>
    <sheetView showGridLines="0" topLeftCell="D4" zoomScale="90" workbookViewId="0"/>
  </sheetViews>
  <sheetFormatPr defaultColWidth="9.09765625" defaultRowHeight="14.25" customHeight="1"/>
  <cols>
    <col min="1" max="1" width="9.09765625" style="2004" hidden="1"/>
    <col min="2" max="2" width="9.09765625" style="2016" hidden="1"/>
    <col min="3" max="3" width="3.69921875" style="2004" hidden="1" customWidth="1"/>
    <col min="4" max="4" width="3" style="2026" customWidth="1"/>
    <col min="5" max="5" width="6" style="2004" customWidth="1"/>
    <col min="6" max="6" width="27" style="2004" customWidth="1"/>
    <col min="7" max="7" width="16" style="2004" customWidth="1"/>
    <col min="8" max="8" width="12" style="2004" customWidth="1"/>
    <col min="9" max="9" width="32" style="2004" customWidth="1"/>
    <col min="10" max="11" width="41" style="2004" customWidth="1"/>
    <col min="12" max="12" width="89" style="2004" customWidth="1"/>
    <col min="13" max="13" width="3" style="2022" customWidth="1"/>
    <col min="14" max="16" width="8" style="2022" customWidth="1"/>
    <col min="17" max="17" width="25" style="2022" customWidth="1"/>
    <col min="18" max="18" width="14" style="2022" customWidth="1"/>
    <col min="19" max="22" width="8" style="2020" customWidth="1"/>
    <col min="23" max="256" width="8" style="2004" customWidth="1"/>
    <col min="257" max="257" width="9.09765625" style="2004" hidden="1"/>
  </cols>
  <sheetData>
    <row r="1" spans="1:257" ht="22.5" hidden="1" customHeight="1">
      <c r="IW1" s="1072" t="s">
        <v>14</v>
      </c>
    </row>
    <row r="2" spans="1:257" s="2021" customFormat="1" ht="22.5" hidden="1" customHeight="1">
      <c r="A2" s="759"/>
      <c r="B2" s="1077">
        <v>1</v>
      </c>
      <c r="C2" s="1077"/>
      <c r="D2" s="1839" t="s">
        <v>105</v>
      </c>
      <c r="E2" s="1803"/>
      <c r="F2" s="1806" t="str">
        <f>IF(ROIV_INFO_NAME="","",ROIV_INFO_NAME)</f>
        <v>ООО "РСО"</v>
      </c>
      <c r="G2" s="1831" t="s">
        <v>28</v>
      </c>
      <c r="H2" s="1830"/>
      <c r="I2" s="1455"/>
      <c r="J2" s="746"/>
      <c r="K2" s="746"/>
      <c r="L2" s="163"/>
      <c r="M2" s="1452" t="e">
        <f ca="1">MERGEVALUE(F2)</f>
        <v>#NAME?</v>
      </c>
      <c r="N2" s="445"/>
      <c r="O2" s="445"/>
      <c r="P2" s="434" t="str">
        <f t="array" ref="P2">IF(ISERROR(MATCH(MID(Q2,1,250),MID(note_ter,1,250),0)),"n","y")</f>
        <v>n</v>
      </c>
      <c r="Q2" s="445"/>
      <c r="R2" s="434" t="str">
        <f>G2&amp;"("&amp;L2&amp;")"</f>
        <v>()</v>
      </c>
      <c r="S2" s="1077"/>
      <c r="T2" s="1077"/>
      <c r="U2" s="354"/>
      <c r="V2" s="1077"/>
      <c r="W2" s="1077"/>
      <c r="X2" s="1077"/>
      <c r="Y2" s="356"/>
      <c r="Z2" s="356"/>
      <c r="AA2" s="353"/>
      <c r="AB2" s="353"/>
      <c r="AC2" s="353"/>
      <c r="AD2" s="353"/>
      <c r="AE2" s="353"/>
      <c r="AF2" s="353"/>
      <c r="AG2" s="353"/>
      <c r="AH2" s="353"/>
      <c r="AI2" s="353"/>
      <c r="AJ2" s="353"/>
      <c r="AK2" s="353"/>
      <c r="AL2" s="353"/>
      <c r="AM2" s="353"/>
      <c r="AN2" s="353"/>
      <c r="AO2" s="353"/>
      <c r="AP2" s="353"/>
      <c r="AQ2" s="353"/>
      <c r="AR2" s="353"/>
      <c r="AS2" s="353"/>
      <c r="AT2" s="353"/>
      <c r="AU2" s="353"/>
      <c r="AV2" s="353"/>
      <c r="AW2" s="353"/>
      <c r="AX2" s="353"/>
      <c r="AY2" s="353"/>
      <c r="AZ2" s="353"/>
      <c r="BA2" s="353"/>
      <c r="BB2" s="353"/>
      <c r="BC2" s="353"/>
      <c r="BD2" s="353"/>
      <c r="BE2" s="353"/>
      <c r="BF2" s="353"/>
      <c r="BG2" s="353"/>
      <c r="BH2" s="353"/>
      <c r="BI2" s="353"/>
      <c r="BJ2" s="353"/>
      <c r="BK2" s="353"/>
      <c r="BL2" s="353"/>
      <c r="BM2" s="353"/>
      <c r="BN2" s="353"/>
      <c r="BO2" s="353"/>
      <c r="BP2" s="353"/>
      <c r="BQ2" s="353"/>
      <c r="BR2" s="353"/>
      <c r="BS2" s="353"/>
      <c r="BT2" s="353"/>
      <c r="BU2" s="353"/>
      <c r="BV2" s="356"/>
      <c r="BW2" s="356"/>
      <c r="BX2" s="356"/>
      <c r="BY2" s="356"/>
      <c r="BZ2" s="356"/>
      <c r="CA2" s="356"/>
      <c r="CB2" s="356"/>
      <c r="CC2" s="356"/>
      <c r="CD2" s="356"/>
      <c r="CE2" s="356"/>
      <c r="IW2" s="357">
        <v>0</v>
      </c>
    </row>
    <row r="3" spans="1:257" s="2017" customFormat="1" ht="5.25" hidden="1" customHeight="1">
      <c r="A3" s="430"/>
      <c r="D3" s="428"/>
      <c r="F3" s="182" t="s">
        <v>84</v>
      </c>
      <c r="G3" s="1651" t="s">
        <v>85</v>
      </c>
      <c r="H3" s="428"/>
      <c r="I3" s="428"/>
      <c r="J3" s="428"/>
      <c r="K3" s="428"/>
      <c r="L3" s="162" t="s">
        <v>86</v>
      </c>
      <c r="M3" s="182" t="s">
        <v>84</v>
      </c>
      <c r="N3" s="182"/>
      <c r="O3" s="182"/>
      <c r="P3" s="182"/>
      <c r="Q3" s="183"/>
      <c r="R3" s="182"/>
      <c r="S3" s="182"/>
      <c r="T3" s="182"/>
      <c r="U3" s="182"/>
      <c r="V3" s="182"/>
      <c r="W3" s="162"/>
      <c r="X3" s="162"/>
      <c r="Y3" s="162"/>
      <c r="Z3" s="162"/>
      <c r="AA3" s="162"/>
      <c r="AB3" s="162"/>
      <c r="AC3" s="162"/>
      <c r="AD3" s="162"/>
      <c r="AE3" s="162"/>
      <c r="AF3" s="162"/>
      <c r="AG3" s="162"/>
      <c r="AH3" s="162"/>
      <c r="AI3" s="162"/>
      <c r="AJ3" s="162"/>
      <c r="AK3" s="162"/>
      <c r="AL3" s="162"/>
      <c r="AM3" s="162"/>
      <c r="AN3" s="162"/>
      <c r="AO3" s="162"/>
      <c r="AP3" s="162"/>
      <c r="AQ3" s="162"/>
      <c r="AR3" s="162"/>
      <c r="AS3" s="162"/>
      <c r="AT3" s="162"/>
      <c r="AU3" s="162"/>
      <c r="AV3" s="162"/>
      <c r="AW3" s="162"/>
      <c r="AX3" s="162"/>
      <c r="AY3" s="162"/>
      <c r="AZ3" s="162"/>
      <c r="BA3" s="162"/>
      <c r="BB3" s="162"/>
      <c r="BC3" s="162"/>
      <c r="BD3" s="162"/>
      <c r="BE3" s="162"/>
      <c r="BF3" s="162"/>
      <c r="BG3" s="162"/>
      <c r="BH3" s="162"/>
      <c r="BI3" s="162"/>
      <c r="BJ3" s="162"/>
      <c r="BK3" s="162"/>
      <c r="BL3" s="162"/>
      <c r="BM3" s="162"/>
      <c r="BN3" s="162"/>
      <c r="BO3" s="162"/>
      <c r="BP3" s="162"/>
      <c r="BQ3" s="162"/>
      <c r="BR3" s="162"/>
      <c r="BS3" s="162"/>
      <c r="BT3" s="162"/>
      <c r="BU3" s="162"/>
      <c r="BV3" s="162"/>
      <c r="BW3" s="162"/>
      <c r="BX3" s="162"/>
      <c r="BY3" s="162"/>
      <c r="BZ3" s="162"/>
      <c r="CA3" s="162"/>
      <c r="CB3" s="162"/>
      <c r="CC3" s="162"/>
      <c r="CD3" s="162"/>
      <c r="CE3" s="162"/>
      <c r="CF3" s="162"/>
      <c r="CG3" s="162"/>
      <c r="CH3" s="162"/>
      <c r="CI3" s="162"/>
      <c r="CJ3" s="162"/>
      <c r="CK3" s="162"/>
      <c r="CL3" s="162"/>
      <c r="CM3" s="162"/>
      <c r="CN3" s="162"/>
      <c r="CO3" s="162"/>
      <c r="CP3" s="162"/>
      <c r="CQ3" s="162"/>
      <c r="CR3" s="162"/>
      <c r="CS3" s="162"/>
      <c r="CT3" s="162"/>
      <c r="CU3" s="162"/>
      <c r="CV3" s="162"/>
      <c r="CW3" s="162"/>
      <c r="CX3" s="162"/>
      <c r="CY3" s="162"/>
      <c r="CZ3" s="162"/>
      <c r="DA3" s="162"/>
      <c r="DB3" s="162"/>
      <c r="DC3" s="162"/>
      <c r="DD3" s="162"/>
      <c r="DE3" s="162"/>
      <c r="DF3" s="162"/>
      <c r="DG3" s="162"/>
      <c r="DH3" s="162"/>
      <c r="DI3" s="162"/>
      <c r="DJ3" s="162"/>
      <c r="DK3" s="162"/>
      <c r="DL3" s="162"/>
      <c r="DM3" s="162"/>
      <c r="DN3" s="162"/>
      <c r="DO3" s="162"/>
      <c r="DP3" s="162"/>
      <c r="DQ3" s="162"/>
      <c r="DR3" s="162"/>
      <c r="DS3" s="162"/>
      <c r="DT3" s="162"/>
      <c r="DU3" s="162"/>
      <c r="DV3" s="162"/>
      <c r="DW3" s="162"/>
      <c r="DX3" s="162"/>
      <c r="DY3" s="162"/>
      <c r="DZ3" s="162"/>
      <c r="EA3" s="162"/>
      <c r="EB3" s="162"/>
      <c r="EC3" s="162"/>
      <c r="ED3" s="162"/>
      <c r="EE3" s="162"/>
      <c r="EF3" s="162"/>
      <c r="EG3" s="162"/>
      <c r="EH3" s="162"/>
      <c r="EI3" s="162"/>
      <c r="EJ3" s="162"/>
      <c r="EK3" s="162"/>
      <c r="EL3" s="162"/>
      <c r="EM3" s="162"/>
      <c r="EN3" s="162"/>
      <c r="EO3" s="162"/>
      <c r="EP3" s="162"/>
      <c r="EQ3" s="162"/>
      <c r="ER3" s="162"/>
      <c r="ES3" s="162"/>
      <c r="ET3" s="162"/>
      <c r="EU3" s="162"/>
      <c r="EV3" s="162"/>
      <c r="EW3" s="162"/>
      <c r="EX3" s="162"/>
      <c r="EY3" s="162"/>
      <c r="EZ3" s="162"/>
      <c r="FA3" s="162"/>
      <c r="FB3" s="162"/>
      <c r="FC3" s="162"/>
      <c r="FD3" s="162"/>
      <c r="FE3" s="162"/>
      <c r="FF3" s="162"/>
      <c r="FG3" s="162"/>
      <c r="FH3" s="162"/>
      <c r="FI3" s="162"/>
      <c r="FJ3" s="162"/>
      <c r="FK3" s="162"/>
      <c r="FL3" s="162"/>
      <c r="FM3" s="162"/>
      <c r="FN3" s="162"/>
      <c r="FO3" s="162"/>
      <c r="FP3" s="162"/>
      <c r="FQ3" s="162"/>
      <c r="FR3" s="162"/>
      <c r="FS3" s="162"/>
      <c r="FT3" s="162"/>
      <c r="FU3" s="162"/>
      <c r="FV3" s="162"/>
      <c r="FW3" s="162"/>
      <c r="FX3" s="162"/>
      <c r="FY3" s="162"/>
      <c r="FZ3" s="162"/>
      <c r="GA3" s="162"/>
      <c r="GB3" s="162"/>
      <c r="GC3" s="162"/>
      <c r="GD3" s="162"/>
      <c r="GE3" s="162"/>
      <c r="GF3" s="162"/>
      <c r="GG3" s="162"/>
      <c r="GH3" s="162"/>
      <c r="GI3" s="162"/>
      <c r="GJ3" s="162"/>
      <c r="GK3" s="162"/>
      <c r="GL3" s="162"/>
      <c r="GM3" s="162"/>
      <c r="GN3" s="162"/>
      <c r="GO3" s="162"/>
      <c r="GP3" s="162"/>
      <c r="GQ3" s="162"/>
      <c r="GR3" s="162"/>
      <c r="GS3" s="162"/>
      <c r="GT3" s="162"/>
      <c r="GU3" s="162"/>
      <c r="GV3" s="162"/>
      <c r="GW3" s="162"/>
      <c r="GX3" s="162"/>
      <c r="GY3" s="162"/>
      <c r="GZ3" s="162"/>
      <c r="HA3" s="162"/>
      <c r="HB3" s="162"/>
      <c r="HC3" s="162"/>
      <c r="HD3" s="162"/>
      <c r="HE3" s="162"/>
      <c r="HF3" s="162"/>
      <c r="HG3" s="162"/>
      <c r="HH3" s="162"/>
      <c r="HI3" s="162"/>
      <c r="HJ3" s="162"/>
      <c r="HK3" s="162"/>
      <c r="HL3" s="162"/>
      <c r="HM3" s="162"/>
      <c r="HN3" s="162"/>
      <c r="HO3" s="162"/>
      <c r="HP3" s="162"/>
      <c r="HQ3" s="162"/>
      <c r="HR3" s="162"/>
      <c r="HS3" s="162"/>
      <c r="HT3" s="162"/>
      <c r="HU3" s="162"/>
      <c r="HV3" s="162"/>
      <c r="HW3" s="162"/>
      <c r="HX3" s="162"/>
      <c r="HY3" s="162"/>
      <c r="HZ3" s="162"/>
      <c r="IA3" s="162"/>
      <c r="IB3" s="162"/>
      <c r="IC3" s="162"/>
      <c r="ID3" s="162"/>
      <c r="IE3" s="162"/>
      <c r="IF3" s="162"/>
      <c r="IG3" s="162"/>
      <c r="IH3" s="162"/>
      <c r="II3" s="162"/>
      <c r="IJ3" s="162"/>
      <c r="IK3" s="162"/>
      <c r="IL3" s="162"/>
      <c r="IM3" s="162"/>
      <c r="IN3" s="162"/>
      <c r="IO3" s="162"/>
      <c r="IP3" s="162"/>
      <c r="IQ3" s="162"/>
      <c r="IR3" s="162"/>
      <c r="IS3" s="162"/>
      <c r="IT3" s="162"/>
      <c r="IU3" s="162"/>
      <c r="IV3" s="162"/>
      <c r="IW3" s="445">
        <v>0</v>
      </c>
    </row>
    <row r="4" spans="1:257" s="2019" customFormat="1" ht="14.65" customHeight="1">
      <c r="A4" s="1072"/>
      <c r="B4" s="1077"/>
      <c r="C4" s="1072"/>
      <c r="D4" s="1412"/>
      <c r="E4" s="443"/>
      <c r="F4" s="443"/>
      <c r="G4" s="443"/>
      <c r="H4" s="443"/>
      <c r="I4" s="443"/>
      <c r="J4" s="443"/>
      <c r="K4" s="443"/>
      <c r="L4" s="101"/>
      <c r="M4" s="182"/>
      <c r="N4" s="434"/>
      <c r="O4" s="434"/>
      <c r="P4" s="434"/>
      <c r="Q4" s="161"/>
      <c r="R4" s="434"/>
      <c r="S4" s="160"/>
      <c r="T4" s="160"/>
      <c r="U4" s="160"/>
      <c r="V4" s="160"/>
      <c r="IW4" s="441">
        <v>14</v>
      </c>
    </row>
    <row r="5" spans="1:257" s="2019" customFormat="1" ht="27.25" customHeight="1">
      <c r="A5" s="1072"/>
      <c r="B5" s="1077"/>
      <c r="C5" s="1072"/>
      <c r="D5" s="1412"/>
      <c r="E5" s="3043"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3043"/>
      <c r="G5" s="3043"/>
      <c r="H5" s="3043"/>
      <c r="I5" s="3043"/>
      <c r="J5" s="3043"/>
      <c r="K5" s="3043"/>
      <c r="L5" s="522"/>
      <c r="M5" s="182"/>
      <c r="N5" s="434"/>
      <c r="O5" s="434"/>
      <c r="P5" s="434"/>
      <c r="Q5" s="161"/>
      <c r="R5" s="434"/>
      <c r="S5" s="160"/>
      <c r="T5" s="160"/>
      <c r="U5" s="160"/>
      <c r="V5" s="160"/>
      <c r="IW5" s="441">
        <v>26</v>
      </c>
    </row>
    <row r="6" spans="1:257" s="2019" customFormat="1" ht="14.65" customHeight="1">
      <c r="A6" s="1072"/>
      <c r="B6" s="1077"/>
      <c r="C6" s="1072"/>
      <c r="D6" s="1412"/>
      <c r="E6" s="443"/>
      <c r="F6" s="102"/>
      <c r="G6" s="102"/>
      <c r="H6" s="102"/>
      <c r="I6" s="102"/>
      <c r="J6" s="102"/>
      <c r="K6" s="102"/>
      <c r="L6" s="103"/>
      <c r="M6" s="434"/>
      <c r="N6" s="434"/>
      <c r="O6" s="434"/>
      <c r="P6" s="434"/>
      <c r="Q6" s="161"/>
      <c r="R6" s="434"/>
      <c r="S6" s="160"/>
      <c r="T6" s="160"/>
      <c r="U6" s="160"/>
      <c r="V6" s="160"/>
      <c r="IW6" s="441">
        <v>14</v>
      </c>
    </row>
    <row r="7" spans="1:257" s="2019" customFormat="1" ht="14.65" customHeight="1">
      <c r="A7" s="1072"/>
      <c r="B7" s="1077"/>
      <c r="C7" s="1072"/>
      <c r="D7" s="1412"/>
      <c r="E7" s="3038" t="s">
        <v>335</v>
      </c>
      <c r="F7" s="3044"/>
      <c r="G7" s="3044"/>
      <c r="H7" s="3044"/>
      <c r="I7" s="3044"/>
      <c r="J7" s="3044"/>
      <c r="K7" s="3044"/>
      <c r="L7" s="3364" t="s">
        <v>336</v>
      </c>
      <c r="M7" s="434"/>
      <c r="N7" s="434"/>
      <c r="O7" s="434"/>
      <c r="P7" s="434"/>
      <c r="Q7" s="161"/>
      <c r="R7" s="434"/>
      <c r="S7" s="160"/>
      <c r="T7" s="160"/>
      <c r="U7" s="160"/>
      <c r="V7" s="160"/>
      <c r="IW7" s="441">
        <v>14</v>
      </c>
    </row>
    <row r="8" spans="1:257" s="2019" customFormat="1" ht="67.25" customHeight="1">
      <c r="A8" s="1072"/>
      <c r="B8" s="1077"/>
      <c r="C8" s="1072"/>
      <c r="D8" s="1412"/>
      <c r="E8" s="3368" t="s">
        <v>89</v>
      </c>
      <c r="F8" s="3368"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3370"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3371"/>
      <c r="I8" s="3372"/>
      <c r="J8" s="3368"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3368"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3366"/>
      <c r="M8" s="434"/>
      <c r="N8" s="434"/>
      <c r="O8" s="434"/>
      <c r="P8" s="434"/>
      <c r="Q8" s="161"/>
      <c r="R8" s="434"/>
      <c r="S8" s="160"/>
      <c r="T8" s="160"/>
      <c r="U8" s="160"/>
      <c r="V8" s="160"/>
      <c r="IW8" s="441">
        <v>64</v>
      </c>
    </row>
    <row r="9" spans="1:257" s="2019" customFormat="1" ht="29.25" customHeight="1">
      <c r="A9" s="1072"/>
      <c r="B9" s="1077"/>
      <c r="C9" s="1072"/>
      <c r="D9" s="1412"/>
      <c r="E9" s="3369"/>
      <c r="F9" s="3369"/>
      <c r="G9" s="1454" t="s">
        <v>1906</v>
      </c>
      <c r="H9" s="1454" t="s">
        <v>1907</v>
      </c>
      <c r="I9" s="1454" t="s">
        <v>1908</v>
      </c>
      <c r="J9" s="3369"/>
      <c r="K9" s="3369"/>
      <c r="L9" s="3365"/>
      <c r="M9" s="434"/>
      <c r="N9" s="434"/>
      <c r="O9" s="434"/>
      <c r="P9" s="434"/>
      <c r="Q9" s="161"/>
      <c r="R9" s="434"/>
      <c r="S9" s="160"/>
      <c r="T9" s="160"/>
      <c r="U9" s="160"/>
      <c r="V9" s="160"/>
      <c r="IW9" s="441">
        <v>28</v>
      </c>
    </row>
    <row r="10" spans="1:257" s="2021" customFormat="1" ht="23.25" customHeight="1">
      <c r="A10" s="3042"/>
      <c r="B10" s="1077">
        <v>1</v>
      </c>
      <c r="C10" s="1077"/>
      <c r="D10" s="728"/>
      <c r="E10" s="726">
        <v>1</v>
      </c>
      <c r="F10" s="1456" t="str">
        <f>IF(ROIV_INFO_NAME="","",ROIV_INFO_NAME)</f>
        <v>ООО "РСО"</v>
      </c>
      <c r="G10" s="1648" t="s">
        <v>28</v>
      </c>
      <c r="H10" s="1830"/>
      <c r="I10" s="1451"/>
      <c r="J10" s="746"/>
      <c r="K10" s="746"/>
      <c r="L10" s="333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52" t="e">
        <f ca="1">MERGEVALUE(F10)</f>
        <v>#NAME?</v>
      </c>
      <c r="N10" s="445"/>
      <c r="O10" s="445"/>
      <c r="P10" s="434" t="str">
        <f t="array" ref="P10">IF(ISERROR(MATCH(MID(Q10,1,250),MID(note_ter,1,250),0)),"n","y")</f>
        <v>n</v>
      </c>
      <c r="Q10" s="445"/>
      <c r="R10" s="434"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077"/>
      <c r="T10" s="1077"/>
      <c r="U10" s="354"/>
      <c r="V10" s="1077"/>
      <c r="W10" s="1077"/>
      <c r="X10" s="1077"/>
      <c r="Y10" s="356"/>
      <c r="Z10" s="356"/>
      <c r="AA10" s="353"/>
      <c r="AB10" s="353"/>
      <c r="AC10" s="353"/>
      <c r="AD10" s="353"/>
      <c r="AE10" s="353"/>
      <c r="AF10" s="353"/>
      <c r="AG10" s="353"/>
      <c r="AH10" s="353"/>
      <c r="AI10" s="353"/>
      <c r="AJ10" s="353"/>
      <c r="AK10" s="353"/>
      <c r="AL10" s="353"/>
      <c r="AM10" s="353"/>
      <c r="AN10" s="353"/>
      <c r="AO10" s="353"/>
      <c r="AP10" s="353"/>
      <c r="AQ10" s="353"/>
      <c r="AR10" s="353"/>
      <c r="AS10" s="353"/>
      <c r="AT10" s="353"/>
      <c r="AU10" s="353"/>
      <c r="AV10" s="353"/>
      <c r="AW10" s="353"/>
      <c r="AX10" s="353"/>
      <c r="AY10" s="353"/>
      <c r="AZ10" s="353"/>
      <c r="BA10" s="353"/>
      <c r="BB10" s="353"/>
      <c r="BC10" s="353"/>
      <c r="BD10" s="353"/>
      <c r="BE10" s="353"/>
      <c r="BF10" s="353"/>
      <c r="BG10" s="353"/>
      <c r="BH10" s="353"/>
      <c r="BI10" s="353"/>
      <c r="BJ10" s="353"/>
      <c r="BK10" s="353"/>
      <c r="BL10" s="353"/>
      <c r="BM10" s="353"/>
      <c r="BN10" s="353"/>
      <c r="BO10" s="353"/>
      <c r="BP10" s="353"/>
      <c r="BQ10" s="353"/>
      <c r="BR10" s="353"/>
      <c r="BS10" s="353"/>
      <c r="BT10" s="353"/>
      <c r="BU10" s="353"/>
      <c r="BV10" s="356"/>
      <c r="BW10" s="356"/>
      <c r="BX10" s="356"/>
      <c r="BY10" s="356"/>
      <c r="BZ10" s="356"/>
      <c r="CA10" s="356"/>
      <c r="CB10" s="356"/>
      <c r="CC10" s="356"/>
      <c r="CD10" s="356"/>
      <c r="CE10" s="356"/>
      <c r="IW10" s="357">
        <v>22</v>
      </c>
    </row>
    <row r="11" spans="1:257" s="2021" customFormat="1" ht="15.75" customHeight="1">
      <c r="A11" s="3042"/>
      <c r="B11" s="1077"/>
      <c r="C11" s="346"/>
      <c r="D11" s="729"/>
      <c r="E11" s="355"/>
      <c r="F11" s="350" t="s">
        <v>1909</v>
      </c>
      <c r="G11" s="122"/>
      <c r="H11" s="122"/>
      <c r="I11" s="122"/>
      <c r="J11" s="122"/>
      <c r="K11" s="358"/>
      <c r="L11" s="3367"/>
      <c r="M11" s="1453"/>
      <c r="N11" s="445"/>
      <c r="O11" s="445"/>
      <c r="P11" s="445"/>
      <c r="Q11" s="434"/>
      <c r="R11" s="445"/>
      <c r="S11" s="1077"/>
      <c r="T11" s="1077"/>
      <c r="U11" s="354"/>
      <c r="V11" s="1077"/>
      <c r="W11" s="1077"/>
      <c r="X11" s="1077"/>
      <c r="Y11" s="356"/>
      <c r="Z11" s="356"/>
      <c r="AA11" s="353"/>
      <c r="AB11" s="353"/>
      <c r="AC11" s="353"/>
      <c r="AD11" s="353"/>
      <c r="AE11" s="353"/>
      <c r="AF11" s="353"/>
      <c r="AG11" s="353"/>
      <c r="AH11" s="353"/>
      <c r="AI11" s="353"/>
      <c r="AJ11" s="353"/>
      <c r="AK11" s="353"/>
      <c r="AL11" s="353"/>
      <c r="AM11" s="353"/>
      <c r="AN11" s="353"/>
      <c r="AO11" s="353"/>
      <c r="AP11" s="353"/>
      <c r="AQ11" s="353"/>
      <c r="AR11" s="353"/>
      <c r="AS11" s="353"/>
      <c r="AT11" s="353"/>
      <c r="AU11" s="353"/>
      <c r="AV11" s="353"/>
      <c r="AW11" s="353"/>
      <c r="AX11" s="353"/>
      <c r="AY11" s="353"/>
      <c r="AZ11" s="353"/>
      <c r="BA11" s="353"/>
      <c r="BB11" s="353"/>
      <c r="BC11" s="353"/>
      <c r="BD11" s="353"/>
      <c r="BE11" s="353"/>
      <c r="BF11" s="353"/>
      <c r="BG11" s="353"/>
      <c r="BH11" s="353"/>
      <c r="BI11" s="353"/>
      <c r="BJ11" s="353"/>
      <c r="BK11" s="353"/>
      <c r="BL11" s="353"/>
      <c r="BM11" s="353"/>
      <c r="BN11" s="353"/>
      <c r="BO11" s="353"/>
      <c r="BP11" s="353"/>
      <c r="BQ11" s="353"/>
      <c r="BR11" s="353"/>
      <c r="BS11" s="353"/>
      <c r="BT11" s="353"/>
      <c r="BU11" s="353"/>
      <c r="BV11" s="356"/>
      <c r="BW11" s="356"/>
      <c r="BX11" s="356"/>
      <c r="BY11" s="356"/>
      <c r="BZ11" s="356"/>
      <c r="CA11" s="356"/>
      <c r="CB11" s="356"/>
      <c r="CC11" s="356"/>
      <c r="CD11" s="356"/>
      <c r="CE11" s="356"/>
      <c r="IW11" s="357">
        <v>15</v>
      </c>
    </row>
    <row r="12" spans="1:257" s="2019" customFormat="1" ht="22" customHeight="1">
      <c r="A12" s="1072"/>
      <c r="B12" s="1077"/>
      <c r="C12" s="1072"/>
      <c r="D12" s="385"/>
      <c r="E12" s="115"/>
      <c r="F12" s="115"/>
      <c r="G12" s="115"/>
      <c r="H12" s="115"/>
      <c r="I12" s="115"/>
      <c r="J12" s="115"/>
      <c r="K12" s="115"/>
      <c r="L12" s="115"/>
      <c r="M12" s="434"/>
      <c r="N12" s="434"/>
      <c r="O12" s="434"/>
      <c r="P12" s="434"/>
      <c r="Q12" s="161"/>
      <c r="R12" s="434"/>
      <c r="S12" s="160"/>
      <c r="T12" s="160"/>
      <c r="U12" s="160"/>
      <c r="V12" s="160"/>
      <c r="IW12" s="441">
        <v>21</v>
      </c>
    </row>
    <row r="13" spans="1:257" s="2019" customFormat="1" ht="14.65" customHeight="1">
      <c r="A13" s="1072"/>
      <c r="B13" s="1077"/>
      <c r="C13" s="1072"/>
      <c r="D13" s="385"/>
      <c r="E13" s="1072"/>
      <c r="F13" s="1072"/>
      <c r="G13" s="1072"/>
      <c r="H13" s="1072"/>
      <c r="I13" s="1072"/>
      <c r="J13" s="1072"/>
      <c r="K13" s="1072"/>
      <c r="L13" s="1072"/>
      <c r="M13" s="434"/>
      <c r="N13" s="434"/>
      <c r="O13" s="434"/>
      <c r="P13" s="434"/>
      <c r="Q13" s="161"/>
      <c r="R13" s="434"/>
      <c r="S13" s="160"/>
      <c r="T13" s="160"/>
      <c r="U13" s="160"/>
      <c r="V13" s="160"/>
      <c r="IW13" s="441">
        <v>14</v>
      </c>
    </row>
    <row r="14" spans="1:257" s="2019" customFormat="1" ht="1" customHeight="1">
      <c r="A14" s="1072"/>
      <c r="B14" s="1077"/>
      <c r="C14" s="1072"/>
      <c r="D14" s="385"/>
      <c r="E14" s="1072"/>
      <c r="F14" s="1072"/>
      <c r="G14" s="1072"/>
      <c r="H14" s="1072"/>
      <c r="I14" s="1072"/>
      <c r="J14" s="1072"/>
      <c r="K14" s="1072"/>
      <c r="L14" s="1072"/>
      <c r="M14" s="434"/>
      <c r="N14" s="434"/>
      <c r="O14" s="434"/>
      <c r="P14" s="434"/>
      <c r="Q14" s="161"/>
      <c r="R14" s="434"/>
      <c r="S14" s="160"/>
      <c r="T14" s="160"/>
      <c r="U14" s="160"/>
      <c r="V14" s="160"/>
      <c r="IW14" s="441">
        <v>1</v>
      </c>
    </row>
    <row r="15" spans="1:257" ht="22.5" hidden="1" customHeight="1">
      <c r="A15" s="1072" t="s">
        <v>83</v>
      </c>
      <c r="B15" s="1077">
        <v>0</v>
      </c>
      <c r="C15" s="1072">
        <v>0</v>
      </c>
      <c r="D15" s="385">
        <v>3</v>
      </c>
      <c r="E15" s="1072">
        <v>6</v>
      </c>
      <c r="F15" s="1072">
        <v>27</v>
      </c>
      <c r="G15" s="1072">
        <v>16</v>
      </c>
      <c r="H15" s="1072">
        <v>12</v>
      </c>
      <c r="I15" s="1072">
        <v>32</v>
      </c>
      <c r="J15" s="1072">
        <v>41</v>
      </c>
      <c r="K15" s="1072">
        <v>41</v>
      </c>
      <c r="L15" s="1072">
        <v>89</v>
      </c>
      <c r="M15" s="434">
        <v>3</v>
      </c>
      <c r="N15" s="434">
        <v>8</v>
      </c>
      <c r="O15" s="434">
        <v>8</v>
      </c>
      <c r="P15" s="434">
        <v>8</v>
      </c>
      <c r="Q15" s="161">
        <v>25</v>
      </c>
      <c r="R15" s="434">
        <v>14</v>
      </c>
      <c r="S15" s="160">
        <v>8</v>
      </c>
      <c r="T15" s="160">
        <v>8</v>
      </c>
      <c r="U15" s="160">
        <v>8</v>
      </c>
      <c r="V15" s="160">
        <v>8</v>
      </c>
      <c r="W15" s="1072">
        <v>8</v>
      </c>
      <c r="X15" s="1072">
        <v>8</v>
      </c>
      <c r="Y15" s="1072">
        <v>8</v>
      </c>
      <c r="Z15" s="1072">
        <v>8</v>
      </c>
      <c r="AA15" s="1072">
        <v>8</v>
      </c>
      <c r="AB15" s="1072">
        <v>8</v>
      </c>
      <c r="AC15" s="1072">
        <v>8</v>
      </c>
      <c r="AD15" s="1072">
        <v>8</v>
      </c>
      <c r="AE15" s="1072">
        <v>8</v>
      </c>
      <c r="AF15" s="1072">
        <v>8</v>
      </c>
      <c r="AG15" s="1072">
        <v>8</v>
      </c>
      <c r="AH15" s="1072">
        <v>8</v>
      </c>
      <c r="AI15" s="1072">
        <v>8</v>
      </c>
      <c r="AJ15" s="1072">
        <v>8</v>
      </c>
      <c r="AK15" s="1072">
        <v>8</v>
      </c>
      <c r="AL15" s="1072">
        <v>8</v>
      </c>
      <c r="AM15" s="1072">
        <v>8</v>
      </c>
      <c r="AN15" s="1072">
        <v>8</v>
      </c>
      <c r="AO15" s="1072">
        <v>8</v>
      </c>
      <c r="AP15" s="1072">
        <v>8</v>
      </c>
      <c r="AQ15" s="1072">
        <v>8</v>
      </c>
      <c r="AR15" s="1072">
        <v>8</v>
      </c>
      <c r="AS15" s="1072">
        <v>8</v>
      </c>
      <c r="AT15" s="1072">
        <v>8</v>
      </c>
      <c r="AU15" s="1072">
        <v>8</v>
      </c>
      <c r="AV15" s="1072">
        <v>8</v>
      </c>
      <c r="AW15" s="1072">
        <v>8</v>
      </c>
      <c r="AX15" s="1072">
        <v>8</v>
      </c>
      <c r="AY15" s="1072">
        <v>8</v>
      </c>
      <c r="AZ15" s="1072">
        <v>8</v>
      </c>
      <c r="BA15" s="1072">
        <v>8</v>
      </c>
      <c r="BB15" s="1072">
        <v>8</v>
      </c>
      <c r="BC15" s="1072">
        <v>8</v>
      </c>
      <c r="BD15" s="1072">
        <v>8</v>
      </c>
      <c r="BE15" s="1072">
        <v>8</v>
      </c>
      <c r="BF15" s="1072">
        <v>8</v>
      </c>
      <c r="BG15" s="1072">
        <v>8</v>
      </c>
      <c r="BH15" s="1072">
        <v>8</v>
      </c>
      <c r="BI15" s="1072">
        <v>8</v>
      </c>
      <c r="BJ15" s="1072">
        <v>8</v>
      </c>
      <c r="BK15" s="1072">
        <v>8</v>
      </c>
      <c r="BL15" s="1072">
        <v>8</v>
      </c>
      <c r="BM15" s="1072">
        <v>8</v>
      </c>
      <c r="BN15" s="1072">
        <v>8</v>
      </c>
      <c r="BO15" s="1072">
        <v>8</v>
      </c>
      <c r="BP15" s="1072">
        <v>8</v>
      </c>
      <c r="BQ15" s="1072">
        <v>8</v>
      </c>
      <c r="BR15" s="1072">
        <v>8</v>
      </c>
      <c r="BS15" s="1072">
        <v>8</v>
      </c>
      <c r="BT15" s="1072">
        <v>8</v>
      </c>
      <c r="BU15" s="1072">
        <v>8</v>
      </c>
      <c r="BV15" s="1072">
        <v>8</v>
      </c>
      <c r="BW15" s="1072">
        <v>8</v>
      </c>
      <c r="BX15" s="1072">
        <v>8</v>
      </c>
      <c r="BY15" s="1072">
        <v>8</v>
      </c>
      <c r="BZ15" s="1072">
        <v>8</v>
      </c>
      <c r="CA15" s="1072">
        <v>8</v>
      </c>
      <c r="CB15" s="1072">
        <v>8</v>
      </c>
      <c r="CC15" s="1072">
        <v>8</v>
      </c>
      <c r="CD15" s="1072">
        <v>8</v>
      </c>
      <c r="CE15" s="1072">
        <v>8</v>
      </c>
      <c r="CF15" s="1072">
        <v>8</v>
      </c>
      <c r="CG15" s="1072">
        <v>8</v>
      </c>
      <c r="CH15" s="1072">
        <v>8</v>
      </c>
      <c r="CI15" s="1072">
        <v>8</v>
      </c>
      <c r="CJ15" s="1072">
        <v>8</v>
      </c>
      <c r="CK15" s="1072">
        <v>8</v>
      </c>
      <c r="CL15" s="1072">
        <v>8</v>
      </c>
      <c r="CM15" s="1072">
        <v>8</v>
      </c>
      <c r="CN15" s="1072">
        <v>8</v>
      </c>
      <c r="CO15" s="1072">
        <v>8</v>
      </c>
      <c r="CP15" s="1072">
        <v>8</v>
      </c>
      <c r="CQ15" s="1072">
        <v>8</v>
      </c>
      <c r="CR15" s="1072">
        <v>8</v>
      </c>
      <c r="CS15" s="1072">
        <v>8</v>
      </c>
      <c r="CT15" s="1072">
        <v>8</v>
      </c>
      <c r="CU15" s="1072">
        <v>8</v>
      </c>
      <c r="CV15" s="1072">
        <v>8</v>
      </c>
      <c r="CW15" s="1072">
        <v>8</v>
      </c>
      <c r="CX15" s="1072">
        <v>8</v>
      </c>
      <c r="CY15" s="1072">
        <v>8</v>
      </c>
      <c r="CZ15" s="1072">
        <v>8</v>
      </c>
      <c r="DA15" s="1072">
        <v>8</v>
      </c>
      <c r="DB15" s="1072">
        <v>8</v>
      </c>
      <c r="DC15" s="1072">
        <v>8</v>
      </c>
      <c r="DD15" s="1072">
        <v>8</v>
      </c>
      <c r="DE15" s="1072">
        <v>8</v>
      </c>
      <c r="DF15" s="1072">
        <v>8</v>
      </c>
      <c r="DG15" s="1072">
        <v>8</v>
      </c>
      <c r="DH15" s="1072">
        <v>8</v>
      </c>
      <c r="DI15" s="1072">
        <v>8</v>
      </c>
      <c r="DJ15" s="1072">
        <v>8</v>
      </c>
      <c r="DK15" s="1072">
        <v>8</v>
      </c>
      <c r="DL15" s="1072">
        <v>8</v>
      </c>
      <c r="DM15" s="1072">
        <v>8</v>
      </c>
      <c r="DN15" s="1072">
        <v>8</v>
      </c>
      <c r="DO15" s="1072">
        <v>8</v>
      </c>
      <c r="DP15" s="1072">
        <v>8</v>
      </c>
      <c r="DQ15" s="1072">
        <v>8</v>
      </c>
      <c r="DR15" s="1072">
        <v>8</v>
      </c>
      <c r="DS15" s="1072">
        <v>8</v>
      </c>
      <c r="DT15" s="1072">
        <v>8</v>
      </c>
      <c r="DU15" s="1072">
        <v>8</v>
      </c>
      <c r="DV15" s="1072">
        <v>8</v>
      </c>
      <c r="DW15" s="1072">
        <v>8</v>
      </c>
      <c r="DX15" s="1072">
        <v>8</v>
      </c>
      <c r="DY15" s="1072">
        <v>8</v>
      </c>
      <c r="DZ15" s="1072">
        <v>8</v>
      </c>
      <c r="EA15" s="1072">
        <v>8</v>
      </c>
      <c r="EB15" s="1072">
        <v>8</v>
      </c>
      <c r="EC15" s="1072">
        <v>8</v>
      </c>
      <c r="ED15" s="1072">
        <v>8</v>
      </c>
      <c r="EE15" s="1072">
        <v>8</v>
      </c>
      <c r="EF15" s="1072">
        <v>8</v>
      </c>
      <c r="EG15" s="1072">
        <v>8</v>
      </c>
      <c r="EH15" s="1072">
        <v>8</v>
      </c>
      <c r="EI15" s="1072">
        <v>8</v>
      </c>
      <c r="EJ15" s="1072">
        <v>8</v>
      </c>
      <c r="EK15" s="1072">
        <v>8</v>
      </c>
      <c r="EL15" s="1072">
        <v>8</v>
      </c>
      <c r="EM15" s="1072">
        <v>8</v>
      </c>
      <c r="EN15" s="1072">
        <v>8</v>
      </c>
      <c r="EO15" s="1072">
        <v>8</v>
      </c>
      <c r="EP15" s="1072">
        <v>8</v>
      </c>
      <c r="EQ15" s="1072">
        <v>8</v>
      </c>
      <c r="ER15" s="1072">
        <v>8</v>
      </c>
      <c r="ES15" s="1072">
        <v>8</v>
      </c>
      <c r="ET15" s="1072">
        <v>8</v>
      </c>
      <c r="EU15" s="1072">
        <v>8</v>
      </c>
      <c r="EV15" s="1072">
        <v>8</v>
      </c>
      <c r="EW15" s="1072">
        <v>8</v>
      </c>
      <c r="EX15" s="1072">
        <v>8</v>
      </c>
      <c r="EY15" s="1072">
        <v>8</v>
      </c>
      <c r="EZ15" s="1072">
        <v>8</v>
      </c>
      <c r="FA15" s="1072">
        <v>8</v>
      </c>
      <c r="FB15" s="1072">
        <v>8</v>
      </c>
      <c r="FC15" s="1072">
        <v>8</v>
      </c>
      <c r="FD15" s="1072">
        <v>8</v>
      </c>
      <c r="FE15" s="1072">
        <v>8</v>
      </c>
      <c r="FF15" s="1072">
        <v>8</v>
      </c>
      <c r="FG15" s="1072">
        <v>8</v>
      </c>
      <c r="FH15" s="1072">
        <v>8</v>
      </c>
      <c r="FI15" s="1072">
        <v>8</v>
      </c>
      <c r="FJ15" s="1072">
        <v>8</v>
      </c>
      <c r="FK15" s="1072">
        <v>8</v>
      </c>
      <c r="FL15" s="1072">
        <v>8</v>
      </c>
      <c r="FM15" s="1072">
        <v>8</v>
      </c>
      <c r="FN15" s="1072">
        <v>8</v>
      </c>
      <c r="FO15" s="1072">
        <v>8</v>
      </c>
      <c r="FP15" s="1072">
        <v>8</v>
      </c>
      <c r="FQ15" s="1072">
        <v>8</v>
      </c>
      <c r="FR15" s="1072">
        <v>8</v>
      </c>
      <c r="FS15" s="1072">
        <v>8</v>
      </c>
      <c r="FT15" s="1072">
        <v>8</v>
      </c>
      <c r="FU15" s="1072">
        <v>8</v>
      </c>
      <c r="FV15" s="1072">
        <v>8</v>
      </c>
      <c r="FW15" s="1072">
        <v>8</v>
      </c>
      <c r="FX15" s="1072">
        <v>8</v>
      </c>
      <c r="FY15" s="1072">
        <v>8</v>
      </c>
      <c r="FZ15" s="1072">
        <v>8</v>
      </c>
      <c r="GA15" s="1072">
        <v>8</v>
      </c>
      <c r="GB15" s="1072">
        <v>8</v>
      </c>
      <c r="GC15" s="1072">
        <v>8</v>
      </c>
      <c r="GD15" s="1072">
        <v>8</v>
      </c>
      <c r="GE15" s="1072">
        <v>8</v>
      </c>
      <c r="GF15" s="1072">
        <v>8</v>
      </c>
      <c r="GG15" s="1072">
        <v>8</v>
      </c>
      <c r="GH15" s="1072">
        <v>8</v>
      </c>
      <c r="GI15" s="1072">
        <v>8</v>
      </c>
      <c r="GJ15" s="1072">
        <v>8</v>
      </c>
      <c r="GK15" s="1072">
        <v>8</v>
      </c>
      <c r="GL15" s="1072">
        <v>8</v>
      </c>
      <c r="GM15" s="1072">
        <v>8</v>
      </c>
      <c r="GN15" s="1072">
        <v>8</v>
      </c>
      <c r="GO15" s="1072">
        <v>8</v>
      </c>
      <c r="GP15" s="1072">
        <v>8</v>
      </c>
      <c r="GQ15" s="1072">
        <v>8</v>
      </c>
      <c r="GR15" s="1072">
        <v>8</v>
      </c>
      <c r="GS15" s="1072">
        <v>8</v>
      </c>
      <c r="GT15" s="1072">
        <v>8</v>
      </c>
      <c r="GU15" s="1072">
        <v>8</v>
      </c>
      <c r="GV15" s="1072">
        <v>8</v>
      </c>
      <c r="GW15" s="1072">
        <v>8</v>
      </c>
      <c r="GX15" s="1072">
        <v>8</v>
      </c>
      <c r="GY15" s="1072">
        <v>8</v>
      </c>
      <c r="GZ15" s="1072">
        <v>8</v>
      </c>
      <c r="HA15" s="1072">
        <v>8</v>
      </c>
      <c r="HB15" s="1072">
        <v>8</v>
      </c>
      <c r="HC15" s="1072">
        <v>8</v>
      </c>
      <c r="HD15" s="1072">
        <v>8</v>
      </c>
      <c r="HE15" s="1072">
        <v>8</v>
      </c>
      <c r="HF15" s="1072">
        <v>8</v>
      </c>
      <c r="HG15" s="1072">
        <v>8</v>
      </c>
      <c r="HH15" s="1072">
        <v>8</v>
      </c>
      <c r="HI15" s="1072">
        <v>8</v>
      </c>
      <c r="HJ15" s="1072">
        <v>8</v>
      </c>
      <c r="HK15" s="1072">
        <v>8</v>
      </c>
      <c r="HL15" s="1072">
        <v>8</v>
      </c>
      <c r="HM15" s="1072">
        <v>8</v>
      </c>
      <c r="HN15" s="1072">
        <v>8</v>
      </c>
      <c r="HO15" s="1072">
        <v>8</v>
      </c>
      <c r="HP15" s="1072">
        <v>8</v>
      </c>
      <c r="HQ15" s="1072">
        <v>8</v>
      </c>
      <c r="HR15" s="1072">
        <v>8</v>
      </c>
      <c r="HS15" s="1072">
        <v>8</v>
      </c>
      <c r="HT15" s="1072">
        <v>8</v>
      </c>
      <c r="HU15" s="1072">
        <v>8</v>
      </c>
      <c r="HV15" s="1072">
        <v>8</v>
      </c>
      <c r="HW15" s="1072">
        <v>8</v>
      </c>
      <c r="HX15" s="1072">
        <v>8</v>
      </c>
      <c r="HY15" s="1072">
        <v>8</v>
      </c>
      <c r="HZ15" s="1072">
        <v>8</v>
      </c>
      <c r="IA15" s="1072">
        <v>8</v>
      </c>
      <c r="IB15" s="1072">
        <v>8</v>
      </c>
      <c r="IC15" s="1072">
        <v>8</v>
      </c>
      <c r="ID15" s="1072">
        <v>8</v>
      </c>
      <c r="IE15" s="1072">
        <v>8</v>
      </c>
      <c r="IF15" s="1072">
        <v>8</v>
      </c>
      <c r="IG15" s="1072">
        <v>8</v>
      </c>
      <c r="IH15" s="1072">
        <v>8</v>
      </c>
      <c r="II15" s="1072">
        <v>8</v>
      </c>
      <c r="IJ15" s="1072">
        <v>8</v>
      </c>
      <c r="IK15" s="1072">
        <v>8</v>
      </c>
      <c r="IL15" s="1072">
        <v>8</v>
      </c>
      <c r="IM15" s="1072">
        <v>8</v>
      </c>
      <c r="IN15" s="1072">
        <v>8</v>
      </c>
      <c r="IO15" s="1072">
        <v>8</v>
      </c>
      <c r="IP15" s="1072">
        <v>8</v>
      </c>
      <c r="IQ15" s="1072">
        <v>8</v>
      </c>
      <c r="IR15" s="1072">
        <v>8</v>
      </c>
      <c r="IS15" s="1072">
        <v>8</v>
      </c>
      <c r="IT15" s="1072">
        <v>8</v>
      </c>
      <c r="IU15" s="1072">
        <v>8</v>
      </c>
      <c r="IV15" s="1072">
        <v>8</v>
      </c>
      <c r="IW15" s="1072">
        <v>23</v>
      </c>
    </row>
  </sheetData>
  <sheetProtection formatColumns="0" formatRows="0" insertRows="0" deleteColumns="0" deleteRows="0" sort="0" autoFilter="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xr:uid="{00000000-0002-0000-3500-000000000000}">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xr:uid="{00000000-0002-0000-3500-00000100000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xr:uid="{00000000-0002-0000-3500-000002000000}">
      <formula1>900</formula1>
    </dataValidation>
    <dataValidation type="time" allowBlank="1" showInputMessage="1" showErrorMessage="1" prompt="Укажите время в формате ЧЧ:ММ" sqref="H10 H2" xr:uid="{00000000-0002-0000-3500-000003000000}">
      <formula1>0</formula1>
      <formula2>0.999305555555555</formula2>
    </dataValidation>
    <dataValidation type="textLength" operator="lessThanOrEqual" allowBlank="1" showInputMessage="1" showErrorMessage="1" sqref="I10 I2" xr:uid="{00000000-0002-0000-3500-000004000000}">
      <formula1>990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3FD17-57CD-AAD1-C442-59C0AC45F56D}">
  <dimension ref="A1:IW15"/>
  <sheetViews>
    <sheetView showGridLines="0" topLeftCell="D4" zoomScale="90" workbookViewId="0"/>
  </sheetViews>
  <sheetFormatPr defaultColWidth="9.09765625" defaultRowHeight="14.25" customHeight="1"/>
  <cols>
    <col min="1" max="1" width="9.09765625" style="2004" hidden="1"/>
    <col min="2" max="2" width="9.09765625" style="2016" hidden="1"/>
    <col min="3" max="3" width="3.69921875" style="2004" hidden="1" customWidth="1"/>
    <col min="4" max="4" width="3" style="2026" customWidth="1"/>
    <col min="5" max="5" width="6" style="2004" customWidth="1"/>
    <col min="6" max="6" width="27" style="2004" customWidth="1"/>
    <col min="7" max="7" width="16" style="2004" customWidth="1"/>
    <col min="8" max="8" width="12" style="2004" customWidth="1"/>
    <col min="9" max="9" width="32" style="2004" customWidth="1"/>
    <col min="10" max="11" width="41" style="2004" customWidth="1"/>
    <col min="12" max="12" width="89" style="2004" customWidth="1"/>
    <col min="13" max="13" width="3" style="2022" customWidth="1"/>
    <col min="14" max="16" width="8" style="2022" customWidth="1"/>
    <col min="17" max="17" width="25" style="2022" customWidth="1"/>
    <col min="18" max="18" width="14" style="2022" customWidth="1"/>
    <col min="19" max="22" width="8" style="2020" customWidth="1"/>
    <col min="23" max="256" width="8" style="2004" customWidth="1"/>
    <col min="257" max="257" width="9.09765625" style="2004" hidden="1"/>
  </cols>
  <sheetData>
    <row r="1" spans="1:257" ht="22.5" hidden="1" customHeight="1">
      <c r="IW1" s="1548" t="s">
        <v>14</v>
      </c>
    </row>
    <row r="2" spans="1:257" s="2021" customFormat="1" ht="22.5" hidden="1" customHeight="1">
      <c r="A2" s="759"/>
      <c r="B2" s="1283">
        <v>1</v>
      </c>
      <c r="C2" s="1283"/>
      <c r="D2" s="1839" t="s">
        <v>105</v>
      </c>
      <c r="E2" s="1818"/>
      <c r="F2" s="1820" t="str">
        <f>IF(ROIV_INFO_NAME="","",ROIV_INFO_NAME)</f>
        <v>ООО "РСО"</v>
      </c>
      <c r="G2" s="1648" t="s">
        <v>28</v>
      </c>
      <c r="H2" s="1830"/>
      <c r="I2" s="1455"/>
      <c r="J2" s="746"/>
      <c r="K2" s="746"/>
      <c r="L2" s="163"/>
      <c r="M2" s="1452" t="e">
        <f ca="1">MERGEVALUE(F2)</f>
        <v>#NAME?</v>
      </c>
      <c r="N2" s="1553"/>
      <c r="O2" s="1553"/>
      <c r="P2" s="1541" t="str">
        <f t="array" ref="P2">IF(ISERROR(MATCH(MID(Q2,1,250),MID(note_ter,1,250),0)),"n","y")</f>
        <v>n</v>
      </c>
      <c r="Q2" s="1553"/>
      <c r="R2" s="1541" t="str">
        <f>G2&amp;"("&amp;L2&amp;")"</f>
        <v>()</v>
      </c>
      <c r="S2" s="1283"/>
      <c r="T2" s="1283"/>
      <c r="U2" s="354"/>
      <c r="V2" s="1283"/>
      <c r="W2" s="1283"/>
      <c r="X2" s="1283"/>
      <c r="Y2" s="761"/>
      <c r="Z2" s="761"/>
      <c r="AA2" s="561"/>
      <c r="AB2" s="561"/>
      <c r="AC2" s="561"/>
      <c r="AD2" s="561"/>
      <c r="AE2" s="561"/>
      <c r="AF2" s="561"/>
      <c r="AG2" s="561"/>
      <c r="AH2" s="561"/>
      <c r="AI2" s="561"/>
      <c r="AJ2" s="561"/>
      <c r="AK2" s="561"/>
      <c r="AL2" s="561"/>
      <c r="AM2" s="561"/>
      <c r="AN2" s="561"/>
      <c r="AO2" s="561"/>
      <c r="AP2" s="561"/>
      <c r="AQ2" s="561"/>
      <c r="AR2" s="561"/>
      <c r="AS2" s="561"/>
      <c r="AT2" s="561"/>
      <c r="AU2" s="561"/>
      <c r="AV2" s="561"/>
      <c r="AW2" s="561"/>
      <c r="AX2" s="561"/>
      <c r="AY2" s="561"/>
      <c r="AZ2" s="561"/>
      <c r="BA2" s="561"/>
      <c r="BB2" s="561"/>
      <c r="BC2" s="561"/>
      <c r="BD2" s="561"/>
      <c r="BE2" s="561"/>
      <c r="BF2" s="561"/>
      <c r="BG2" s="561"/>
      <c r="BH2" s="561"/>
      <c r="BI2" s="561"/>
      <c r="BJ2" s="561"/>
      <c r="BK2" s="561"/>
      <c r="BL2" s="561"/>
      <c r="BM2" s="561"/>
      <c r="BN2" s="561"/>
      <c r="BO2" s="561"/>
      <c r="BP2" s="561"/>
      <c r="BQ2" s="561"/>
      <c r="BR2" s="561"/>
      <c r="BS2" s="561"/>
      <c r="BT2" s="561"/>
      <c r="BU2" s="561"/>
      <c r="BV2" s="761"/>
      <c r="BW2" s="761"/>
      <c r="BX2" s="761"/>
      <c r="BY2" s="761"/>
      <c r="BZ2" s="761"/>
      <c r="CA2" s="761"/>
      <c r="CB2" s="761"/>
      <c r="CC2" s="761"/>
      <c r="CD2" s="761"/>
      <c r="CE2" s="761"/>
      <c r="IW2" s="558">
        <v>0</v>
      </c>
    </row>
    <row r="3" spans="1:257" s="2017" customFormat="1" ht="5.25" hidden="1" customHeight="1">
      <c r="A3" s="1558"/>
      <c r="D3" s="1807"/>
      <c r="F3" s="183" t="s">
        <v>84</v>
      </c>
      <c r="G3" s="1651" t="s">
        <v>85</v>
      </c>
      <c r="H3" s="1807"/>
      <c r="I3" s="1807"/>
      <c r="J3" s="1807"/>
      <c r="K3" s="1807"/>
      <c r="L3" s="162" t="s">
        <v>86</v>
      </c>
      <c r="M3" s="183" t="s">
        <v>84</v>
      </c>
      <c r="N3" s="183"/>
      <c r="O3" s="183"/>
      <c r="P3" s="183"/>
      <c r="Q3" s="183"/>
      <c r="R3" s="183"/>
      <c r="S3" s="183"/>
      <c r="T3" s="183"/>
      <c r="U3" s="183"/>
      <c r="V3" s="183"/>
      <c r="W3" s="162"/>
      <c r="X3" s="162"/>
      <c r="Y3" s="162"/>
      <c r="Z3" s="162"/>
      <c r="AA3" s="162"/>
      <c r="AB3" s="162"/>
      <c r="AC3" s="162"/>
      <c r="AD3" s="162"/>
      <c r="AE3" s="162"/>
      <c r="AF3" s="162"/>
      <c r="AG3" s="162"/>
      <c r="AH3" s="162"/>
      <c r="AI3" s="162"/>
      <c r="AJ3" s="162"/>
      <c r="AK3" s="162"/>
      <c r="AL3" s="162"/>
      <c r="AM3" s="162"/>
      <c r="AN3" s="162"/>
      <c r="AO3" s="162"/>
      <c r="AP3" s="162"/>
      <c r="AQ3" s="162"/>
      <c r="AR3" s="162"/>
      <c r="AS3" s="162"/>
      <c r="AT3" s="162"/>
      <c r="AU3" s="162"/>
      <c r="AV3" s="162"/>
      <c r="AW3" s="162"/>
      <c r="AX3" s="162"/>
      <c r="AY3" s="162"/>
      <c r="AZ3" s="162"/>
      <c r="BA3" s="162"/>
      <c r="BB3" s="162"/>
      <c r="BC3" s="162"/>
      <c r="BD3" s="162"/>
      <c r="BE3" s="162"/>
      <c r="BF3" s="162"/>
      <c r="BG3" s="162"/>
      <c r="BH3" s="162"/>
      <c r="BI3" s="162"/>
      <c r="BJ3" s="162"/>
      <c r="BK3" s="162"/>
      <c r="BL3" s="162"/>
      <c r="BM3" s="162"/>
      <c r="BN3" s="162"/>
      <c r="BO3" s="162"/>
      <c r="BP3" s="162"/>
      <c r="BQ3" s="162"/>
      <c r="BR3" s="162"/>
      <c r="BS3" s="162"/>
      <c r="BT3" s="162"/>
      <c r="BU3" s="162"/>
      <c r="BV3" s="162"/>
      <c r="BW3" s="162"/>
      <c r="BX3" s="162"/>
      <c r="BY3" s="162"/>
      <c r="BZ3" s="162"/>
      <c r="CA3" s="162"/>
      <c r="CB3" s="162"/>
      <c r="CC3" s="162"/>
      <c r="CD3" s="162"/>
      <c r="CE3" s="162"/>
      <c r="CF3" s="162"/>
      <c r="CG3" s="162"/>
      <c r="CH3" s="162"/>
      <c r="CI3" s="162"/>
      <c r="CJ3" s="162"/>
      <c r="CK3" s="162"/>
      <c r="CL3" s="162"/>
      <c r="CM3" s="162"/>
      <c r="CN3" s="162"/>
      <c r="CO3" s="162"/>
      <c r="CP3" s="162"/>
      <c r="CQ3" s="162"/>
      <c r="CR3" s="162"/>
      <c r="CS3" s="162"/>
      <c r="CT3" s="162"/>
      <c r="CU3" s="162"/>
      <c r="CV3" s="162"/>
      <c r="CW3" s="162"/>
      <c r="CX3" s="162"/>
      <c r="CY3" s="162"/>
      <c r="CZ3" s="162"/>
      <c r="DA3" s="162"/>
      <c r="DB3" s="162"/>
      <c r="DC3" s="162"/>
      <c r="DD3" s="162"/>
      <c r="DE3" s="162"/>
      <c r="DF3" s="162"/>
      <c r="DG3" s="162"/>
      <c r="DH3" s="162"/>
      <c r="DI3" s="162"/>
      <c r="DJ3" s="162"/>
      <c r="DK3" s="162"/>
      <c r="DL3" s="162"/>
      <c r="DM3" s="162"/>
      <c r="DN3" s="162"/>
      <c r="DO3" s="162"/>
      <c r="DP3" s="162"/>
      <c r="DQ3" s="162"/>
      <c r="DR3" s="162"/>
      <c r="DS3" s="162"/>
      <c r="DT3" s="162"/>
      <c r="DU3" s="162"/>
      <c r="DV3" s="162"/>
      <c r="DW3" s="162"/>
      <c r="DX3" s="162"/>
      <c r="DY3" s="162"/>
      <c r="DZ3" s="162"/>
      <c r="EA3" s="162"/>
      <c r="EB3" s="162"/>
      <c r="EC3" s="162"/>
      <c r="ED3" s="162"/>
      <c r="EE3" s="162"/>
      <c r="EF3" s="162"/>
      <c r="EG3" s="162"/>
      <c r="EH3" s="162"/>
      <c r="EI3" s="162"/>
      <c r="EJ3" s="162"/>
      <c r="EK3" s="162"/>
      <c r="EL3" s="162"/>
      <c r="EM3" s="162"/>
      <c r="EN3" s="162"/>
      <c r="EO3" s="162"/>
      <c r="EP3" s="162"/>
      <c r="EQ3" s="162"/>
      <c r="ER3" s="162"/>
      <c r="ES3" s="162"/>
      <c r="ET3" s="162"/>
      <c r="EU3" s="162"/>
      <c r="EV3" s="162"/>
      <c r="EW3" s="162"/>
      <c r="EX3" s="162"/>
      <c r="EY3" s="162"/>
      <c r="EZ3" s="162"/>
      <c r="FA3" s="162"/>
      <c r="FB3" s="162"/>
      <c r="FC3" s="162"/>
      <c r="FD3" s="162"/>
      <c r="FE3" s="162"/>
      <c r="FF3" s="162"/>
      <c r="FG3" s="162"/>
      <c r="FH3" s="162"/>
      <c r="FI3" s="162"/>
      <c r="FJ3" s="162"/>
      <c r="FK3" s="162"/>
      <c r="FL3" s="162"/>
      <c r="FM3" s="162"/>
      <c r="FN3" s="162"/>
      <c r="FO3" s="162"/>
      <c r="FP3" s="162"/>
      <c r="FQ3" s="162"/>
      <c r="FR3" s="162"/>
      <c r="FS3" s="162"/>
      <c r="FT3" s="162"/>
      <c r="FU3" s="162"/>
      <c r="FV3" s="162"/>
      <c r="FW3" s="162"/>
      <c r="FX3" s="162"/>
      <c r="FY3" s="162"/>
      <c r="FZ3" s="162"/>
      <c r="GA3" s="162"/>
      <c r="GB3" s="162"/>
      <c r="GC3" s="162"/>
      <c r="GD3" s="162"/>
      <c r="GE3" s="162"/>
      <c r="GF3" s="162"/>
      <c r="GG3" s="162"/>
      <c r="GH3" s="162"/>
      <c r="GI3" s="162"/>
      <c r="GJ3" s="162"/>
      <c r="GK3" s="162"/>
      <c r="GL3" s="162"/>
      <c r="GM3" s="162"/>
      <c r="GN3" s="162"/>
      <c r="GO3" s="162"/>
      <c r="GP3" s="162"/>
      <c r="GQ3" s="162"/>
      <c r="GR3" s="162"/>
      <c r="GS3" s="162"/>
      <c r="GT3" s="162"/>
      <c r="GU3" s="162"/>
      <c r="GV3" s="162"/>
      <c r="GW3" s="162"/>
      <c r="GX3" s="162"/>
      <c r="GY3" s="162"/>
      <c r="GZ3" s="162"/>
      <c r="HA3" s="162"/>
      <c r="HB3" s="162"/>
      <c r="HC3" s="162"/>
      <c r="HD3" s="162"/>
      <c r="HE3" s="162"/>
      <c r="HF3" s="162"/>
      <c r="HG3" s="162"/>
      <c r="HH3" s="162"/>
      <c r="HI3" s="162"/>
      <c r="HJ3" s="162"/>
      <c r="HK3" s="162"/>
      <c r="HL3" s="162"/>
      <c r="HM3" s="162"/>
      <c r="HN3" s="162"/>
      <c r="HO3" s="162"/>
      <c r="HP3" s="162"/>
      <c r="HQ3" s="162"/>
      <c r="HR3" s="162"/>
      <c r="HS3" s="162"/>
      <c r="HT3" s="162"/>
      <c r="HU3" s="162"/>
      <c r="HV3" s="162"/>
      <c r="HW3" s="162"/>
      <c r="HX3" s="162"/>
      <c r="HY3" s="162"/>
      <c r="HZ3" s="162"/>
      <c r="IA3" s="162"/>
      <c r="IB3" s="162"/>
      <c r="IC3" s="162"/>
      <c r="ID3" s="162"/>
      <c r="IE3" s="162"/>
      <c r="IF3" s="162"/>
      <c r="IG3" s="162"/>
      <c r="IH3" s="162"/>
      <c r="II3" s="162"/>
      <c r="IJ3" s="162"/>
      <c r="IK3" s="162"/>
      <c r="IL3" s="162"/>
      <c r="IM3" s="162"/>
      <c r="IN3" s="162"/>
      <c r="IO3" s="162"/>
      <c r="IP3" s="162"/>
      <c r="IQ3" s="162"/>
      <c r="IR3" s="162"/>
      <c r="IS3" s="162"/>
      <c r="IT3" s="162"/>
      <c r="IU3" s="162"/>
      <c r="IV3" s="162"/>
      <c r="IW3" s="1553">
        <v>0</v>
      </c>
    </row>
    <row r="4" spans="1:257" s="2019" customFormat="1" ht="14.65" customHeight="1">
      <c r="A4" s="1548"/>
      <c r="B4" s="1283"/>
      <c r="C4" s="1548"/>
      <c r="D4" s="1432"/>
      <c r="E4" s="1552"/>
      <c r="F4" s="1552"/>
      <c r="G4" s="1552"/>
      <c r="H4" s="1552"/>
      <c r="I4" s="1552"/>
      <c r="J4" s="1552"/>
      <c r="K4" s="1552"/>
      <c r="L4" s="1809"/>
      <c r="M4" s="183"/>
      <c r="N4" s="1541"/>
      <c r="O4" s="1541"/>
      <c r="P4" s="1541"/>
      <c r="Q4" s="1541"/>
      <c r="R4" s="1541"/>
      <c r="S4" s="160"/>
      <c r="T4" s="160"/>
      <c r="U4" s="160"/>
      <c r="V4" s="160"/>
      <c r="IW4" s="1526">
        <v>14</v>
      </c>
    </row>
    <row r="5" spans="1:257" s="2019" customFormat="1" ht="27.25" customHeight="1">
      <c r="A5" s="1548"/>
      <c r="B5" s="1283"/>
      <c r="C5" s="1548"/>
      <c r="D5" s="1432"/>
      <c r="E5" s="3043"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3043"/>
      <c r="G5" s="3043"/>
      <c r="H5" s="3043"/>
      <c r="I5" s="3043"/>
      <c r="J5" s="3043"/>
      <c r="K5" s="3043"/>
      <c r="L5" s="1552"/>
      <c r="M5" s="183"/>
      <c r="N5" s="1541"/>
      <c r="O5" s="1541"/>
      <c r="P5" s="1541"/>
      <c r="Q5" s="1541"/>
      <c r="R5" s="1541"/>
      <c r="S5" s="160"/>
      <c r="T5" s="160"/>
      <c r="U5" s="160"/>
      <c r="V5" s="160"/>
      <c r="IW5" s="1526">
        <v>26</v>
      </c>
    </row>
    <row r="6" spans="1:257" s="2019" customFormat="1" ht="14.65" customHeight="1">
      <c r="A6" s="1548"/>
      <c r="B6" s="1283"/>
      <c r="C6" s="1548"/>
      <c r="D6" s="1432"/>
      <c r="E6" s="1552"/>
      <c r="F6" s="550"/>
      <c r="G6" s="550"/>
      <c r="H6" s="550"/>
      <c r="I6" s="550"/>
      <c r="J6" s="550"/>
      <c r="K6" s="550"/>
      <c r="L6" s="1169"/>
      <c r="M6" s="1541"/>
      <c r="N6" s="1541"/>
      <c r="O6" s="1541"/>
      <c r="P6" s="1541"/>
      <c r="Q6" s="1541"/>
      <c r="R6" s="1541"/>
      <c r="S6" s="160"/>
      <c r="T6" s="160"/>
      <c r="U6" s="160"/>
      <c r="V6" s="160"/>
      <c r="IW6" s="1526">
        <v>14</v>
      </c>
    </row>
    <row r="7" spans="1:257" s="2019" customFormat="1" ht="14.65" customHeight="1">
      <c r="A7" s="1548"/>
      <c r="B7" s="1283"/>
      <c r="C7" s="1548"/>
      <c r="D7" s="1432"/>
      <c r="E7" s="3038" t="s">
        <v>335</v>
      </c>
      <c r="F7" s="3044"/>
      <c r="G7" s="3044"/>
      <c r="H7" s="3044"/>
      <c r="I7" s="3044"/>
      <c r="J7" s="3044"/>
      <c r="K7" s="3044"/>
      <c r="L7" s="3364" t="s">
        <v>336</v>
      </c>
      <c r="M7" s="1541"/>
      <c r="N7" s="1541"/>
      <c r="O7" s="1541"/>
      <c r="P7" s="1541"/>
      <c r="Q7" s="1541"/>
      <c r="R7" s="1541"/>
      <c r="S7" s="160"/>
      <c r="T7" s="160"/>
      <c r="U7" s="160"/>
      <c r="V7" s="160"/>
      <c r="IW7" s="1526">
        <v>14</v>
      </c>
    </row>
    <row r="8" spans="1:257" s="2019" customFormat="1" ht="67.25" customHeight="1">
      <c r="A8" s="1548"/>
      <c r="B8" s="1283"/>
      <c r="C8" s="1548"/>
      <c r="D8" s="1432"/>
      <c r="E8" s="3368" t="s">
        <v>89</v>
      </c>
      <c r="F8" s="3368" t="s">
        <v>1910</v>
      </c>
      <c r="G8" s="3370" t="s">
        <v>1911</v>
      </c>
      <c r="H8" s="3371"/>
      <c r="I8" s="3372"/>
      <c r="J8" s="3368" t="s">
        <v>1912</v>
      </c>
      <c r="K8" s="3368"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3366"/>
      <c r="M8" s="1541"/>
      <c r="N8" s="1541"/>
      <c r="O8" s="1541"/>
      <c r="P8" s="1541"/>
      <c r="Q8" s="1541"/>
      <c r="R8" s="1541"/>
      <c r="S8" s="160"/>
      <c r="T8" s="160"/>
      <c r="U8" s="160"/>
      <c r="V8" s="160"/>
      <c r="IW8" s="1526">
        <v>64</v>
      </c>
    </row>
    <row r="9" spans="1:257" s="2019" customFormat="1" ht="29.25" customHeight="1">
      <c r="A9" s="1548"/>
      <c r="B9" s="1283"/>
      <c r="C9" s="1548"/>
      <c r="D9" s="1432"/>
      <c r="E9" s="3369"/>
      <c r="F9" s="3369"/>
      <c r="G9" s="1808" t="s">
        <v>1906</v>
      </c>
      <c r="H9" s="1808" t="s">
        <v>1907</v>
      </c>
      <c r="I9" s="1808" t="s">
        <v>1908</v>
      </c>
      <c r="J9" s="3369"/>
      <c r="K9" s="3369"/>
      <c r="L9" s="3365"/>
      <c r="M9" s="1541"/>
      <c r="N9" s="1541"/>
      <c r="O9" s="1541"/>
      <c r="P9" s="1541"/>
      <c r="Q9" s="1541"/>
      <c r="R9" s="1541"/>
      <c r="S9" s="160"/>
      <c r="T9" s="160"/>
      <c r="U9" s="160"/>
      <c r="V9" s="160"/>
      <c r="IW9" s="1526">
        <v>28</v>
      </c>
    </row>
    <row r="10" spans="1:257" s="2021" customFormat="1" ht="1" customHeight="1">
      <c r="A10" s="3042"/>
      <c r="B10" s="1283">
        <v>1</v>
      </c>
      <c r="C10" s="1283"/>
      <c r="D10" s="728"/>
      <c r="E10" s="723">
        <v>0</v>
      </c>
      <c r="F10" s="1805" t="str">
        <f>IF(ROIV_INFO_NAME="","",ROIV_INFO_NAME)</f>
        <v>ООО "РСО"</v>
      </c>
      <c r="G10" s="1649" t="s">
        <v>28</v>
      </c>
      <c r="H10" s="1817"/>
      <c r="I10" s="1817"/>
      <c r="J10" s="453"/>
      <c r="K10" s="453"/>
      <c r="L10" s="333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52" t="e">
        <f ca="1">MERGEVALUE(F10)</f>
        <v>#NAME?</v>
      </c>
      <c r="N10" s="1553"/>
      <c r="O10" s="1553"/>
      <c r="P10" s="1541" t="str">
        <f t="array" ref="P10">IF(ISERROR(MATCH(MID(Q10,1,250),MID(note_ter,1,250),0)),"n","y")</f>
        <v>n</v>
      </c>
      <c r="Q10" s="1553"/>
      <c r="R10" s="1541"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283"/>
      <c r="T10" s="1283"/>
      <c r="U10" s="354"/>
      <c r="V10" s="1283"/>
      <c r="W10" s="1283"/>
      <c r="X10" s="1283"/>
      <c r="Y10" s="761"/>
      <c r="Z10" s="761"/>
      <c r="AA10" s="561"/>
      <c r="AB10" s="561"/>
      <c r="AC10" s="561"/>
      <c r="AD10" s="561"/>
      <c r="AE10" s="561"/>
      <c r="AF10" s="561"/>
      <c r="AG10" s="561"/>
      <c r="AH10" s="561"/>
      <c r="AI10" s="561"/>
      <c r="AJ10" s="561"/>
      <c r="AK10" s="561"/>
      <c r="AL10" s="561"/>
      <c r="AM10" s="561"/>
      <c r="AN10" s="561"/>
      <c r="AO10" s="561"/>
      <c r="AP10" s="561"/>
      <c r="AQ10" s="561"/>
      <c r="AR10" s="561"/>
      <c r="AS10" s="561"/>
      <c r="AT10" s="561"/>
      <c r="AU10" s="561"/>
      <c r="AV10" s="561"/>
      <c r="AW10" s="561"/>
      <c r="AX10" s="561"/>
      <c r="AY10" s="561"/>
      <c r="AZ10" s="561"/>
      <c r="BA10" s="561"/>
      <c r="BB10" s="561"/>
      <c r="BC10" s="561"/>
      <c r="BD10" s="561"/>
      <c r="BE10" s="561"/>
      <c r="BF10" s="561"/>
      <c r="BG10" s="561"/>
      <c r="BH10" s="561"/>
      <c r="BI10" s="561"/>
      <c r="BJ10" s="561"/>
      <c r="BK10" s="561"/>
      <c r="BL10" s="561"/>
      <c r="BM10" s="561"/>
      <c r="BN10" s="561"/>
      <c r="BO10" s="561"/>
      <c r="BP10" s="561"/>
      <c r="BQ10" s="561"/>
      <c r="BR10" s="561"/>
      <c r="BS10" s="561"/>
      <c r="BT10" s="561"/>
      <c r="BU10" s="561"/>
      <c r="BV10" s="761"/>
      <c r="BW10" s="761"/>
      <c r="BX10" s="761"/>
      <c r="BY10" s="761"/>
      <c r="BZ10" s="761"/>
      <c r="CA10" s="761"/>
      <c r="CB10" s="761"/>
      <c r="CC10" s="761"/>
      <c r="CD10" s="761"/>
      <c r="CE10" s="761"/>
      <c r="IW10" s="558">
        <v>1</v>
      </c>
    </row>
    <row r="11" spans="1:257" s="2021" customFormat="1" ht="15.75" customHeight="1">
      <c r="A11" s="3042"/>
      <c r="B11" s="1283"/>
      <c r="C11" s="346"/>
      <c r="D11" s="729"/>
      <c r="E11" s="355"/>
      <c r="F11" s="585" t="s">
        <v>1909</v>
      </c>
      <c r="G11" s="122"/>
      <c r="H11" s="122"/>
      <c r="I11" s="122"/>
      <c r="J11" s="122"/>
      <c r="K11" s="358"/>
      <c r="L11" s="3367"/>
      <c r="M11" s="1453"/>
      <c r="N11" s="1553"/>
      <c r="O11" s="1553"/>
      <c r="P11" s="1553"/>
      <c r="Q11" s="1541"/>
      <c r="R11" s="1553"/>
      <c r="S11" s="1283"/>
      <c r="T11" s="1283"/>
      <c r="U11" s="354"/>
      <c r="V11" s="1283"/>
      <c r="W11" s="1283"/>
      <c r="X11" s="1283"/>
      <c r="Y11" s="761"/>
      <c r="Z11" s="761"/>
      <c r="AA11" s="561"/>
      <c r="AB11" s="561"/>
      <c r="AC11" s="561"/>
      <c r="AD11" s="561"/>
      <c r="AE11" s="561"/>
      <c r="AF11" s="561"/>
      <c r="AG11" s="561"/>
      <c r="AH11" s="561"/>
      <c r="AI11" s="561"/>
      <c r="AJ11" s="561"/>
      <c r="AK11" s="561"/>
      <c r="AL11" s="561"/>
      <c r="AM11" s="561"/>
      <c r="AN11" s="561"/>
      <c r="AO11" s="561"/>
      <c r="AP11" s="561"/>
      <c r="AQ11" s="561"/>
      <c r="AR11" s="561"/>
      <c r="AS11" s="561"/>
      <c r="AT11" s="561"/>
      <c r="AU11" s="561"/>
      <c r="AV11" s="561"/>
      <c r="AW11" s="561"/>
      <c r="AX11" s="561"/>
      <c r="AY11" s="561"/>
      <c r="AZ11" s="561"/>
      <c r="BA11" s="561"/>
      <c r="BB11" s="561"/>
      <c r="BC11" s="561"/>
      <c r="BD11" s="561"/>
      <c r="BE11" s="561"/>
      <c r="BF11" s="561"/>
      <c r="BG11" s="561"/>
      <c r="BH11" s="561"/>
      <c r="BI11" s="561"/>
      <c r="BJ11" s="561"/>
      <c r="BK11" s="561"/>
      <c r="BL11" s="561"/>
      <c r="BM11" s="561"/>
      <c r="BN11" s="561"/>
      <c r="BO11" s="561"/>
      <c r="BP11" s="561"/>
      <c r="BQ11" s="561"/>
      <c r="BR11" s="561"/>
      <c r="BS11" s="561"/>
      <c r="BT11" s="561"/>
      <c r="BU11" s="561"/>
      <c r="BV11" s="761"/>
      <c r="BW11" s="761"/>
      <c r="BX11" s="761"/>
      <c r="BY11" s="761"/>
      <c r="BZ11" s="761"/>
      <c r="CA11" s="761"/>
      <c r="CB11" s="761"/>
      <c r="CC11" s="761"/>
      <c r="CD11" s="761"/>
      <c r="CE11" s="761"/>
      <c r="IW11" s="558">
        <v>15</v>
      </c>
    </row>
    <row r="12" spans="1:257" s="2019" customFormat="1" ht="22" customHeight="1">
      <c r="A12" s="1548"/>
      <c r="B12" s="1283"/>
      <c r="C12" s="1548"/>
      <c r="D12" s="1550"/>
      <c r="E12" s="115"/>
      <c r="F12" s="115"/>
      <c r="G12" s="115"/>
      <c r="H12" s="115"/>
      <c r="I12" s="115"/>
      <c r="J12" s="115"/>
      <c r="K12" s="115"/>
      <c r="L12" s="115"/>
      <c r="M12" s="1541"/>
      <c r="N12" s="1541"/>
      <c r="O12" s="1541"/>
      <c r="P12" s="1541"/>
      <c r="Q12" s="1541"/>
      <c r="R12" s="1541"/>
      <c r="S12" s="160"/>
      <c r="T12" s="160"/>
      <c r="U12" s="160"/>
      <c r="V12" s="160"/>
      <c r="IW12" s="1526">
        <v>21</v>
      </c>
    </row>
    <row r="13" spans="1:257" s="2019" customFormat="1" ht="14.65" customHeight="1">
      <c r="A13" s="1548"/>
      <c r="B13" s="1283"/>
      <c r="C13" s="1548"/>
      <c r="D13" s="1550"/>
      <c r="E13" s="1548"/>
      <c r="F13" s="1548"/>
      <c r="G13" s="1548"/>
      <c r="H13" s="1548"/>
      <c r="I13" s="1548"/>
      <c r="J13" s="1548"/>
      <c r="K13" s="1548"/>
      <c r="L13" s="1548"/>
      <c r="M13" s="1541"/>
      <c r="N13" s="1541"/>
      <c r="O13" s="1541"/>
      <c r="P13" s="1541"/>
      <c r="Q13" s="1541"/>
      <c r="R13" s="1541"/>
      <c r="S13" s="160"/>
      <c r="T13" s="160"/>
      <c r="U13" s="160"/>
      <c r="V13" s="160"/>
      <c r="IW13" s="1526">
        <v>14</v>
      </c>
    </row>
    <row r="14" spans="1:257" s="2019" customFormat="1" ht="1" customHeight="1">
      <c r="A14" s="1548"/>
      <c r="B14" s="1283"/>
      <c r="C14" s="1548"/>
      <c r="D14" s="1550"/>
      <c r="E14" s="1548"/>
      <c r="F14" s="1548"/>
      <c r="G14" s="1548"/>
      <c r="H14" s="1548"/>
      <c r="I14" s="1548"/>
      <c r="J14" s="1548"/>
      <c r="K14" s="1548"/>
      <c r="L14" s="1548"/>
      <c r="M14" s="1541"/>
      <c r="N14" s="1541"/>
      <c r="O14" s="1541"/>
      <c r="P14" s="1541"/>
      <c r="Q14" s="1541"/>
      <c r="R14" s="1541"/>
      <c r="S14" s="160"/>
      <c r="T14" s="160"/>
      <c r="U14" s="160"/>
      <c r="V14" s="160"/>
      <c r="IW14" s="1526">
        <v>1</v>
      </c>
    </row>
    <row r="15" spans="1:257" ht="22.5" hidden="1" customHeight="1">
      <c r="A15" s="1548" t="s">
        <v>83</v>
      </c>
      <c r="B15" s="1283">
        <v>0</v>
      </c>
      <c r="C15" s="1548">
        <v>0</v>
      </c>
      <c r="D15" s="1550">
        <v>3</v>
      </c>
      <c r="E15" s="1548">
        <v>6</v>
      </c>
      <c r="F15" s="1548">
        <v>27</v>
      </c>
      <c r="G15" s="1548">
        <v>16</v>
      </c>
      <c r="H15" s="1548">
        <v>12</v>
      </c>
      <c r="I15" s="1548">
        <v>32</v>
      </c>
      <c r="J15" s="1548">
        <v>41</v>
      </c>
      <c r="K15" s="1548">
        <v>41</v>
      </c>
      <c r="L15" s="1548">
        <v>89</v>
      </c>
      <c r="M15" s="1541">
        <v>3</v>
      </c>
      <c r="N15" s="1541">
        <v>8</v>
      </c>
      <c r="O15" s="1541">
        <v>8</v>
      </c>
      <c r="P15" s="1541">
        <v>8</v>
      </c>
      <c r="Q15" s="1541">
        <v>25</v>
      </c>
      <c r="R15" s="1541">
        <v>14</v>
      </c>
      <c r="S15" s="160">
        <v>8</v>
      </c>
      <c r="T15" s="160">
        <v>8</v>
      </c>
      <c r="U15" s="160">
        <v>8</v>
      </c>
      <c r="V15" s="160">
        <v>8</v>
      </c>
      <c r="W15" s="1548">
        <v>8</v>
      </c>
      <c r="X15" s="1548">
        <v>8</v>
      </c>
      <c r="Y15" s="1548">
        <v>8</v>
      </c>
      <c r="Z15" s="1548">
        <v>8</v>
      </c>
      <c r="AA15" s="1548">
        <v>8</v>
      </c>
      <c r="AB15" s="1548">
        <v>8</v>
      </c>
      <c r="AC15" s="1548">
        <v>8</v>
      </c>
      <c r="AD15" s="1548">
        <v>8</v>
      </c>
      <c r="AE15" s="1548">
        <v>8</v>
      </c>
      <c r="AF15" s="1548">
        <v>8</v>
      </c>
      <c r="AG15" s="1548">
        <v>8</v>
      </c>
      <c r="AH15" s="1548">
        <v>8</v>
      </c>
      <c r="AI15" s="1548">
        <v>8</v>
      </c>
      <c r="AJ15" s="1548">
        <v>8</v>
      </c>
      <c r="AK15" s="1548">
        <v>8</v>
      </c>
      <c r="AL15" s="1548">
        <v>8</v>
      </c>
      <c r="AM15" s="1548">
        <v>8</v>
      </c>
      <c r="AN15" s="1548">
        <v>8</v>
      </c>
      <c r="AO15" s="1548">
        <v>8</v>
      </c>
      <c r="AP15" s="1548">
        <v>8</v>
      </c>
      <c r="AQ15" s="1548">
        <v>8</v>
      </c>
      <c r="AR15" s="1548">
        <v>8</v>
      </c>
      <c r="AS15" s="1548">
        <v>8</v>
      </c>
      <c r="AT15" s="1548">
        <v>8</v>
      </c>
      <c r="AU15" s="1548">
        <v>8</v>
      </c>
      <c r="AV15" s="1548">
        <v>8</v>
      </c>
      <c r="AW15" s="1548">
        <v>8</v>
      </c>
      <c r="AX15" s="1548">
        <v>8</v>
      </c>
      <c r="AY15" s="1548">
        <v>8</v>
      </c>
      <c r="AZ15" s="1548">
        <v>8</v>
      </c>
      <c r="BA15" s="1548">
        <v>8</v>
      </c>
      <c r="BB15" s="1548">
        <v>8</v>
      </c>
      <c r="BC15" s="1548">
        <v>8</v>
      </c>
      <c r="BD15" s="1548">
        <v>8</v>
      </c>
      <c r="BE15" s="1548">
        <v>8</v>
      </c>
      <c r="BF15" s="1548">
        <v>8</v>
      </c>
      <c r="BG15" s="1548">
        <v>8</v>
      </c>
      <c r="BH15" s="1548">
        <v>8</v>
      </c>
      <c r="BI15" s="1548">
        <v>8</v>
      </c>
      <c r="BJ15" s="1548">
        <v>8</v>
      </c>
      <c r="BK15" s="1548">
        <v>8</v>
      </c>
      <c r="BL15" s="1548">
        <v>8</v>
      </c>
      <c r="BM15" s="1548">
        <v>8</v>
      </c>
      <c r="BN15" s="1548">
        <v>8</v>
      </c>
      <c r="BO15" s="1548">
        <v>8</v>
      </c>
      <c r="BP15" s="1548">
        <v>8</v>
      </c>
      <c r="BQ15" s="1548">
        <v>8</v>
      </c>
      <c r="BR15" s="1548">
        <v>8</v>
      </c>
      <c r="BS15" s="1548">
        <v>8</v>
      </c>
      <c r="BT15" s="1548">
        <v>8</v>
      </c>
      <c r="BU15" s="1548">
        <v>8</v>
      </c>
      <c r="BV15" s="1548">
        <v>8</v>
      </c>
      <c r="BW15" s="1548">
        <v>8</v>
      </c>
      <c r="BX15" s="1548">
        <v>8</v>
      </c>
      <c r="BY15" s="1548">
        <v>8</v>
      </c>
      <c r="BZ15" s="1548">
        <v>8</v>
      </c>
      <c r="CA15" s="1548">
        <v>8</v>
      </c>
      <c r="CB15" s="1548">
        <v>8</v>
      </c>
      <c r="CC15" s="1548">
        <v>8</v>
      </c>
      <c r="CD15" s="1548">
        <v>8</v>
      </c>
      <c r="CE15" s="1548">
        <v>8</v>
      </c>
      <c r="CF15" s="1548">
        <v>8</v>
      </c>
      <c r="CG15" s="1548">
        <v>8</v>
      </c>
      <c r="CH15" s="1548">
        <v>8</v>
      </c>
      <c r="CI15" s="1548">
        <v>8</v>
      </c>
      <c r="CJ15" s="1548">
        <v>8</v>
      </c>
      <c r="CK15" s="1548">
        <v>8</v>
      </c>
      <c r="CL15" s="1548">
        <v>8</v>
      </c>
      <c r="CM15" s="1548">
        <v>8</v>
      </c>
      <c r="CN15" s="1548">
        <v>8</v>
      </c>
      <c r="CO15" s="1548">
        <v>8</v>
      </c>
      <c r="CP15" s="1548">
        <v>8</v>
      </c>
      <c r="CQ15" s="1548">
        <v>8</v>
      </c>
      <c r="CR15" s="1548">
        <v>8</v>
      </c>
      <c r="CS15" s="1548">
        <v>8</v>
      </c>
      <c r="CT15" s="1548">
        <v>8</v>
      </c>
      <c r="CU15" s="1548">
        <v>8</v>
      </c>
      <c r="CV15" s="1548">
        <v>8</v>
      </c>
      <c r="CW15" s="1548">
        <v>8</v>
      </c>
      <c r="CX15" s="1548">
        <v>8</v>
      </c>
      <c r="CY15" s="1548">
        <v>8</v>
      </c>
      <c r="CZ15" s="1548">
        <v>8</v>
      </c>
      <c r="DA15" s="1548">
        <v>8</v>
      </c>
      <c r="DB15" s="1548">
        <v>8</v>
      </c>
      <c r="DC15" s="1548">
        <v>8</v>
      </c>
      <c r="DD15" s="1548">
        <v>8</v>
      </c>
      <c r="DE15" s="1548">
        <v>8</v>
      </c>
      <c r="DF15" s="1548">
        <v>8</v>
      </c>
      <c r="DG15" s="1548">
        <v>8</v>
      </c>
      <c r="DH15" s="1548">
        <v>8</v>
      </c>
      <c r="DI15" s="1548">
        <v>8</v>
      </c>
      <c r="DJ15" s="1548">
        <v>8</v>
      </c>
      <c r="DK15" s="1548">
        <v>8</v>
      </c>
      <c r="DL15" s="1548">
        <v>8</v>
      </c>
      <c r="DM15" s="1548">
        <v>8</v>
      </c>
      <c r="DN15" s="1548">
        <v>8</v>
      </c>
      <c r="DO15" s="1548">
        <v>8</v>
      </c>
      <c r="DP15" s="1548">
        <v>8</v>
      </c>
      <c r="DQ15" s="1548">
        <v>8</v>
      </c>
      <c r="DR15" s="1548">
        <v>8</v>
      </c>
      <c r="DS15" s="1548">
        <v>8</v>
      </c>
      <c r="DT15" s="1548">
        <v>8</v>
      </c>
      <c r="DU15" s="1548">
        <v>8</v>
      </c>
      <c r="DV15" s="1548">
        <v>8</v>
      </c>
      <c r="DW15" s="1548">
        <v>8</v>
      </c>
      <c r="DX15" s="1548">
        <v>8</v>
      </c>
      <c r="DY15" s="1548">
        <v>8</v>
      </c>
      <c r="DZ15" s="1548">
        <v>8</v>
      </c>
      <c r="EA15" s="1548">
        <v>8</v>
      </c>
      <c r="EB15" s="1548">
        <v>8</v>
      </c>
      <c r="EC15" s="1548">
        <v>8</v>
      </c>
      <c r="ED15" s="1548">
        <v>8</v>
      </c>
      <c r="EE15" s="1548">
        <v>8</v>
      </c>
      <c r="EF15" s="1548">
        <v>8</v>
      </c>
      <c r="EG15" s="1548">
        <v>8</v>
      </c>
      <c r="EH15" s="1548">
        <v>8</v>
      </c>
      <c r="EI15" s="1548">
        <v>8</v>
      </c>
      <c r="EJ15" s="1548">
        <v>8</v>
      </c>
      <c r="EK15" s="1548">
        <v>8</v>
      </c>
      <c r="EL15" s="1548">
        <v>8</v>
      </c>
      <c r="EM15" s="1548">
        <v>8</v>
      </c>
      <c r="EN15" s="1548">
        <v>8</v>
      </c>
      <c r="EO15" s="1548">
        <v>8</v>
      </c>
      <c r="EP15" s="1548">
        <v>8</v>
      </c>
      <c r="EQ15" s="1548">
        <v>8</v>
      </c>
      <c r="ER15" s="1548">
        <v>8</v>
      </c>
      <c r="ES15" s="1548">
        <v>8</v>
      </c>
      <c r="ET15" s="1548">
        <v>8</v>
      </c>
      <c r="EU15" s="1548">
        <v>8</v>
      </c>
      <c r="EV15" s="1548">
        <v>8</v>
      </c>
      <c r="EW15" s="1548">
        <v>8</v>
      </c>
      <c r="EX15" s="1548">
        <v>8</v>
      </c>
      <c r="EY15" s="1548">
        <v>8</v>
      </c>
      <c r="EZ15" s="1548">
        <v>8</v>
      </c>
      <c r="FA15" s="1548">
        <v>8</v>
      </c>
      <c r="FB15" s="1548">
        <v>8</v>
      </c>
      <c r="FC15" s="1548">
        <v>8</v>
      </c>
      <c r="FD15" s="1548">
        <v>8</v>
      </c>
      <c r="FE15" s="1548">
        <v>8</v>
      </c>
      <c r="FF15" s="1548">
        <v>8</v>
      </c>
      <c r="FG15" s="1548">
        <v>8</v>
      </c>
      <c r="FH15" s="1548">
        <v>8</v>
      </c>
      <c r="FI15" s="1548">
        <v>8</v>
      </c>
      <c r="FJ15" s="1548">
        <v>8</v>
      </c>
      <c r="FK15" s="1548">
        <v>8</v>
      </c>
      <c r="FL15" s="1548">
        <v>8</v>
      </c>
      <c r="FM15" s="1548">
        <v>8</v>
      </c>
      <c r="FN15" s="1548">
        <v>8</v>
      </c>
      <c r="FO15" s="1548">
        <v>8</v>
      </c>
      <c r="FP15" s="1548">
        <v>8</v>
      </c>
      <c r="FQ15" s="1548">
        <v>8</v>
      </c>
      <c r="FR15" s="1548">
        <v>8</v>
      </c>
      <c r="FS15" s="1548">
        <v>8</v>
      </c>
      <c r="FT15" s="1548">
        <v>8</v>
      </c>
      <c r="FU15" s="1548">
        <v>8</v>
      </c>
      <c r="FV15" s="1548">
        <v>8</v>
      </c>
      <c r="FW15" s="1548">
        <v>8</v>
      </c>
      <c r="FX15" s="1548">
        <v>8</v>
      </c>
      <c r="FY15" s="1548">
        <v>8</v>
      </c>
      <c r="FZ15" s="1548">
        <v>8</v>
      </c>
      <c r="GA15" s="1548">
        <v>8</v>
      </c>
      <c r="GB15" s="1548">
        <v>8</v>
      </c>
      <c r="GC15" s="1548">
        <v>8</v>
      </c>
      <c r="GD15" s="1548">
        <v>8</v>
      </c>
      <c r="GE15" s="1548">
        <v>8</v>
      </c>
      <c r="GF15" s="1548">
        <v>8</v>
      </c>
      <c r="GG15" s="1548">
        <v>8</v>
      </c>
      <c r="GH15" s="1548">
        <v>8</v>
      </c>
      <c r="GI15" s="1548">
        <v>8</v>
      </c>
      <c r="GJ15" s="1548">
        <v>8</v>
      </c>
      <c r="GK15" s="1548">
        <v>8</v>
      </c>
      <c r="GL15" s="1548">
        <v>8</v>
      </c>
      <c r="GM15" s="1548">
        <v>8</v>
      </c>
      <c r="GN15" s="1548">
        <v>8</v>
      </c>
      <c r="GO15" s="1548">
        <v>8</v>
      </c>
      <c r="GP15" s="1548">
        <v>8</v>
      </c>
      <c r="GQ15" s="1548">
        <v>8</v>
      </c>
      <c r="GR15" s="1548">
        <v>8</v>
      </c>
      <c r="GS15" s="1548">
        <v>8</v>
      </c>
      <c r="GT15" s="1548">
        <v>8</v>
      </c>
      <c r="GU15" s="1548">
        <v>8</v>
      </c>
      <c r="GV15" s="1548">
        <v>8</v>
      </c>
      <c r="GW15" s="1548">
        <v>8</v>
      </c>
      <c r="GX15" s="1548">
        <v>8</v>
      </c>
      <c r="GY15" s="1548">
        <v>8</v>
      </c>
      <c r="GZ15" s="1548">
        <v>8</v>
      </c>
      <c r="HA15" s="1548">
        <v>8</v>
      </c>
      <c r="HB15" s="1548">
        <v>8</v>
      </c>
      <c r="HC15" s="1548">
        <v>8</v>
      </c>
      <c r="HD15" s="1548">
        <v>8</v>
      </c>
      <c r="HE15" s="1548">
        <v>8</v>
      </c>
      <c r="HF15" s="1548">
        <v>8</v>
      </c>
      <c r="HG15" s="1548">
        <v>8</v>
      </c>
      <c r="HH15" s="1548">
        <v>8</v>
      </c>
      <c r="HI15" s="1548">
        <v>8</v>
      </c>
      <c r="HJ15" s="1548">
        <v>8</v>
      </c>
      <c r="HK15" s="1548">
        <v>8</v>
      </c>
      <c r="HL15" s="1548">
        <v>8</v>
      </c>
      <c r="HM15" s="1548">
        <v>8</v>
      </c>
      <c r="HN15" s="1548">
        <v>8</v>
      </c>
      <c r="HO15" s="1548">
        <v>8</v>
      </c>
      <c r="HP15" s="1548">
        <v>8</v>
      </c>
      <c r="HQ15" s="1548">
        <v>8</v>
      </c>
      <c r="HR15" s="1548">
        <v>8</v>
      </c>
      <c r="HS15" s="1548">
        <v>8</v>
      </c>
      <c r="HT15" s="1548">
        <v>8</v>
      </c>
      <c r="HU15" s="1548">
        <v>8</v>
      </c>
      <c r="HV15" s="1548">
        <v>8</v>
      </c>
      <c r="HW15" s="1548">
        <v>8</v>
      </c>
      <c r="HX15" s="1548">
        <v>8</v>
      </c>
      <c r="HY15" s="1548">
        <v>8</v>
      </c>
      <c r="HZ15" s="1548">
        <v>8</v>
      </c>
      <c r="IA15" s="1548">
        <v>8</v>
      </c>
      <c r="IB15" s="1548">
        <v>8</v>
      </c>
      <c r="IC15" s="1548">
        <v>8</v>
      </c>
      <c r="ID15" s="1548">
        <v>8</v>
      </c>
      <c r="IE15" s="1548">
        <v>8</v>
      </c>
      <c r="IF15" s="1548">
        <v>8</v>
      </c>
      <c r="IG15" s="1548">
        <v>8</v>
      </c>
      <c r="IH15" s="1548">
        <v>8</v>
      </c>
      <c r="II15" s="1548">
        <v>8</v>
      </c>
      <c r="IJ15" s="1548">
        <v>8</v>
      </c>
      <c r="IK15" s="1548">
        <v>8</v>
      </c>
      <c r="IL15" s="1548">
        <v>8</v>
      </c>
      <c r="IM15" s="1548">
        <v>8</v>
      </c>
      <c r="IN15" s="1548">
        <v>8</v>
      </c>
      <c r="IO15" s="1548">
        <v>8</v>
      </c>
      <c r="IP15" s="1548">
        <v>8</v>
      </c>
      <c r="IQ15" s="1548">
        <v>8</v>
      </c>
      <c r="IR15" s="1548">
        <v>8</v>
      </c>
      <c r="IS15" s="1548">
        <v>8</v>
      </c>
      <c r="IT15" s="1548">
        <v>8</v>
      </c>
      <c r="IU15" s="1548">
        <v>8</v>
      </c>
      <c r="IV15" s="1548">
        <v>8</v>
      </c>
      <c r="IW15" s="1548">
        <v>23</v>
      </c>
    </row>
  </sheetData>
  <sheetProtection insertRows="0" deleteColumns="0" deleteRows="0" sort="0" autoFilter="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xr:uid="{00000000-0002-0000-3600-000000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xr:uid="{00000000-0002-0000-3600-000001000000}"/>
    <dataValidation type="textLength" allowBlank="1" showInputMessage="1" showErrorMessage="1" sqref="H3:I3" xr:uid="{00000000-0002-0000-3600-000002000000}">
      <formula1>13</formula1>
      <formula2>15</formula2>
    </dataValidation>
    <dataValidation type="textLength" operator="lessThanOrEqual" allowBlank="1" showInputMessage="1" showErrorMessage="1" sqref="I2" xr:uid="{00000000-0002-0000-3600-000003000000}">
      <formula1>990</formula1>
    </dataValidation>
    <dataValidation type="time" allowBlank="1" showInputMessage="1" showErrorMessage="1" prompt="Укажите время в формате ЧЧ:ММ" sqref="H2" xr:uid="{00000000-0002-0000-3600-000004000000}">
      <formula1>0</formula1>
      <formula2>0.999305555555555</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7C998C-C2ED-7C6C-445A-7A62188CA8DB}">
  <dimension ref="A1:Q19"/>
  <sheetViews>
    <sheetView showGridLines="0" topLeftCell="D6" zoomScale="90" workbookViewId="0"/>
  </sheetViews>
  <sheetFormatPr defaultColWidth="9.09765625" defaultRowHeight="14.25" customHeight="1"/>
  <cols>
    <col min="1" max="1" width="9.09765625" style="2004" hidden="1"/>
    <col min="2" max="2" width="9.09765625" style="2016" hidden="1"/>
    <col min="3" max="3" width="3.69921875" style="2004" hidden="1" customWidth="1"/>
    <col min="4" max="4" width="3" style="2026" customWidth="1"/>
    <col min="5" max="5" width="6" style="2004" customWidth="1"/>
    <col min="6" max="6" width="27" style="2004" customWidth="1"/>
    <col min="7" max="7" width="29" style="2004" customWidth="1"/>
    <col min="8" max="8" width="25" style="2004" customWidth="1"/>
    <col min="9" max="9" width="5" style="2004" customWidth="1"/>
    <col min="10" max="10" width="6" style="2004" customWidth="1"/>
    <col min="11" max="11" width="41" style="2004" customWidth="1"/>
    <col min="12" max="12" width="42" style="2004" customWidth="1"/>
    <col min="13" max="13" width="41" style="2004" customWidth="1"/>
    <col min="14" max="14" width="89" style="2004" customWidth="1"/>
    <col min="15" max="15" width="3" style="2022" customWidth="1"/>
    <col min="16" max="16" width="8" style="2022" customWidth="1"/>
    <col min="17" max="17" width="9.09765625" style="2004" hidden="1"/>
  </cols>
  <sheetData>
    <row r="1" spans="1:17" ht="22.5" hidden="1" customHeight="1">
      <c r="Q1" s="1072" t="s">
        <v>14</v>
      </c>
    </row>
    <row r="2" spans="1:17" s="2021" customFormat="1" ht="22.5" hidden="1" customHeight="1">
      <c r="A2" s="430"/>
      <c r="B2" s="1077">
        <v>1</v>
      </c>
      <c r="C2" s="1077"/>
      <c r="D2" s="1839" t="s">
        <v>105</v>
      </c>
      <c r="E2" s="3067">
        <v>1</v>
      </c>
      <c r="F2" s="3234" t="str">
        <f>IF(region_name="","",region_name)</f>
        <v>Камчатский край</v>
      </c>
      <c r="G2" s="3373"/>
      <c r="H2" s="3374"/>
      <c r="I2" s="408"/>
      <c r="J2" s="1824">
        <v>1</v>
      </c>
      <c r="K2" s="1826"/>
      <c r="L2" s="1826"/>
      <c r="M2" s="1826"/>
      <c r="N2" s="426"/>
      <c r="O2" s="1452"/>
      <c r="P2" s="445"/>
      <c r="Q2" s="357">
        <v>0</v>
      </c>
    </row>
    <row r="3" spans="1:17" s="2021" customFormat="1" ht="22.5" hidden="1" customHeight="1">
      <c r="A3" s="759"/>
      <c r="B3" s="1077"/>
      <c r="C3" s="1077"/>
      <c r="D3" s="729"/>
      <c r="E3" s="3067"/>
      <c r="F3" s="3234"/>
      <c r="G3" s="3373"/>
      <c r="H3" s="3375"/>
      <c r="I3" s="355"/>
      <c r="J3" s="1417"/>
      <c r="K3" s="1417" t="s">
        <v>1913</v>
      </c>
      <c r="L3" s="1460"/>
      <c r="M3" s="1834"/>
      <c r="N3" s="1827"/>
      <c r="O3" s="1452"/>
      <c r="P3" s="445"/>
      <c r="Q3" s="357">
        <v>0</v>
      </c>
    </row>
    <row r="4" spans="1:17" s="2017" customFormat="1" ht="5.25" hidden="1" customHeight="1">
      <c r="A4" s="430"/>
      <c r="D4" s="428"/>
      <c r="F4" s="182" t="s">
        <v>84</v>
      </c>
      <c r="G4" s="428" t="s">
        <v>85</v>
      </c>
      <c r="H4" s="428"/>
      <c r="I4" s="1837"/>
      <c r="J4" s="1461"/>
      <c r="K4" s="1825"/>
      <c r="L4" s="1825"/>
      <c r="M4" s="1825"/>
      <c r="N4" s="1821"/>
      <c r="O4" s="182" t="s">
        <v>84</v>
      </c>
      <c r="P4" s="182"/>
      <c r="Q4" s="445">
        <v>0</v>
      </c>
    </row>
    <row r="5" spans="1:17" s="2021" customFormat="1" ht="22.5" hidden="1" customHeight="1">
      <c r="A5" s="1558"/>
      <c r="B5" s="1283">
        <v>1</v>
      </c>
      <c r="C5" s="1283"/>
      <c r="D5" s="729"/>
      <c r="E5" s="1827"/>
      <c r="F5" s="1827"/>
      <c r="G5" s="1827"/>
      <c r="H5" s="1838"/>
      <c r="I5" s="1840" t="s">
        <v>105</v>
      </c>
      <c r="J5" s="1836">
        <v>1</v>
      </c>
      <c r="K5" s="1826"/>
      <c r="L5" s="1826"/>
      <c r="M5" s="1826"/>
      <c r="N5" s="426"/>
      <c r="O5" s="1452"/>
      <c r="P5" s="1553"/>
      <c r="Q5" s="558">
        <v>0</v>
      </c>
    </row>
    <row r="6" spans="1:17" s="2019" customFormat="1" ht="14.65" customHeight="1">
      <c r="A6" s="1072"/>
      <c r="B6" s="1077"/>
      <c r="C6" s="1072"/>
      <c r="D6" s="1412"/>
      <c r="E6" s="443"/>
      <c r="F6" s="443"/>
      <c r="G6" s="443"/>
      <c r="H6" s="443"/>
      <c r="I6" s="443"/>
      <c r="J6" s="443"/>
      <c r="K6" s="443"/>
      <c r="L6" s="443"/>
      <c r="M6" s="443"/>
      <c r="N6" s="1552"/>
      <c r="O6" s="182"/>
      <c r="P6" s="434"/>
      <c r="Q6" s="441">
        <v>14</v>
      </c>
    </row>
    <row r="7" spans="1:17" s="2019" customFormat="1" ht="27.25" customHeight="1">
      <c r="A7" s="1072"/>
      <c r="B7" s="1077"/>
      <c r="C7" s="1072"/>
      <c r="D7" s="1412"/>
      <c r="E7" s="3380"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3380"/>
      <c r="G7" s="3380"/>
      <c r="H7" s="3380"/>
      <c r="I7" s="3380"/>
      <c r="J7" s="3380"/>
      <c r="K7" s="3380"/>
      <c r="L7" s="3380"/>
      <c r="M7" s="3380"/>
      <c r="N7" s="1169"/>
      <c r="O7" s="182"/>
      <c r="P7" s="434"/>
      <c r="Q7" s="441">
        <v>26</v>
      </c>
    </row>
    <row r="8" spans="1:17" s="2019" customFormat="1" ht="14.65" customHeight="1">
      <c r="A8" s="1072"/>
      <c r="B8" s="1077"/>
      <c r="C8" s="1072"/>
      <c r="D8" s="1412"/>
      <c r="E8" s="443"/>
      <c r="F8" s="102"/>
      <c r="G8" s="102"/>
      <c r="H8" s="102"/>
      <c r="I8" s="102"/>
      <c r="J8" s="102"/>
      <c r="K8" s="102"/>
      <c r="L8" s="102"/>
      <c r="M8" s="102"/>
      <c r="N8" s="550"/>
      <c r="O8" s="434"/>
      <c r="P8" s="434"/>
      <c r="Q8" s="441">
        <v>14</v>
      </c>
    </row>
    <row r="9" spans="1:17" s="3003" customFormat="1" ht="14.25" hidden="1" customHeight="1">
      <c r="A9" s="1385"/>
      <c r="B9" s="1395"/>
      <c r="C9" s="1385"/>
      <c r="D9" s="1412"/>
      <c r="E9" s="1828"/>
      <c r="F9" s="1828"/>
      <c r="G9" s="1828"/>
      <c r="H9" s="1828"/>
      <c r="I9" s="3383"/>
      <c r="J9" s="3383"/>
      <c r="K9" s="3383"/>
      <c r="L9" s="1828"/>
      <c r="M9" s="1829"/>
      <c r="O9" s="1462"/>
      <c r="P9" s="1462"/>
      <c r="Q9" s="1463">
        <v>0</v>
      </c>
    </row>
    <row r="10" spans="1:17" s="2019" customFormat="1" ht="14.65" customHeight="1">
      <c r="A10" s="1072"/>
      <c r="B10" s="1077"/>
      <c r="C10" s="1072"/>
      <c r="D10" s="1412"/>
      <c r="E10" s="3067" t="s">
        <v>335</v>
      </c>
      <c r="F10" s="3067"/>
      <c r="G10" s="3067"/>
      <c r="H10" s="3067"/>
      <c r="I10" s="3067"/>
      <c r="J10" s="3067"/>
      <c r="K10" s="3067"/>
      <c r="L10" s="3067"/>
      <c r="M10" s="3038"/>
      <c r="N10" s="3368" t="s">
        <v>336</v>
      </c>
      <c r="O10" s="434"/>
      <c r="P10" s="434"/>
      <c r="Q10" s="441">
        <v>14</v>
      </c>
    </row>
    <row r="11" spans="1:17" s="2019" customFormat="1" ht="44.25" customHeight="1">
      <c r="A11" s="1548"/>
      <c r="B11" s="1283"/>
      <c r="C11" s="1548"/>
      <c r="D11" s="1432"/>
      <c r="E11" s="3382" t="s">
        <v>89</v>
      </c>
      <c r="F11" s="3382" t="s">
        <v>339</v>
      </c>
      <c r="G11" s="3382" t="s">
        <v>1914</v>
      </c>
      <c r="H11" s="3382"/>
      <c r="I11" s="3382" t="s">
        <v>1915</v>
      </c>
      <c r="J11" s="3382"/>
      <c r="K11" s="3382"/>
      <c r="L11" s="3382" t="s">
        <v>1916</v>
      </c>
      <c r="M11" s="3370" t="s">
        <v>1917</v>
      </c>
      <c r="N11" s="3381"/>
      <c r="O11" s="1541"/>
      <c r="P11" s="1541"/>
      <c r="Q11" s="1526">
        <v>42</v>
      </c>
    </row>
    <row r="12" spans="1:17" s="2019" customFormat="1" ht="29.25" customHeight="1">
      <c r="A12" s="1072"/>
      <c r="B12" s="1077"/>
      <c r="C12" s="1072"/>
      <c r="D12" s="1412"/>
      <c r="E12" s="3368"/>
      <c r="F12" s="3382"/>
      <c r="G12" s="1823" t="s">
        <v>1918</v>
      </c>
      <c r="H12" s="1823" t="s">
        <v>343</v>
      </c>
      <c r="I12" s="3382"/>
      <c r="J12" s="3382"/>
      <c r="K12" s="3382"/>
      <c r="L12" s="3382"/>
      <c r="M12" s="3370"/>
      <c r="N12" s="3369"/>
      <c r="O12" s="434"/>
      <c r="P12" s="434"/>
      <c r="Q12" s="441">
        <v>28</v>
      </c>
    </row>
    <row r="13" spans="1:17" s="2021" customFormat="1" ht="23.25" customHeight="1">
      <c r="A13" s="3042">
        <v>26379339</v>
      </c>
      <c r="B13" s="1077">
        <v>1</v>
      </c>
      <c r="C13" s="1077"/>
      <c r="D13" s="729"/>
      <c r="E13" s="3067">
        <v>1</v>
      </c>
      <c r="F13" s="3376" t="str">
        <f>IF(region_name="","",region_name)</f>
        <v>Камчатский край</v>
      </c>
      <c r="G13" s="3377"/>
      <c r="H13" s="3384"/>
      <c r="I13" s="408"/>
      <c r="J13" s="1819">
        <v>1</v>
      </c>
      <c r="K13" s="1832"/>
      <c r="L13" s="1833"/>
      <c r="M13" s="1833"/>
      <c r="N13" s="3378" t="s">
        <v>1919</v>
      </c>
      <c r="O13" s="1452"/>
      <c r="P13" s="445"/>
      <c r="Q13" s="357">
        <v>22</v>
      </c>
    </row>
    <row r="14" spans="1:17" s="2021" customFormat="1" ht="23.25" customHeight="1">
      <c r="A14" s="3042"/>
      <c r="B14" s="1077"/>
      <c r="C14" s="1077"/>
      <c r="D14" s="729"/>
      <c r="E14" s="3067"/>
      <c r="F14" s="3376"/>
      <c r="G14" s="3377"/>
      <c r="H14" s="3385"/>
      <c r="I14" s="355"/>
      <c r="J14" s="1417"/>
      <c r="K14" s="1417" t="s">
        <v>1913</v>
      </c>
      <c r="L14" s="1460"/>
      <c r="M14" s="1460"/>
      <c r="N14" s="3379"/>
      <c r="O14" s="1452"/>
      <c r="P14" s="445"/>
      <c r="Q14" s="357">
        <v>22</v>
      </c>
    </row>
    <row r="15" spans="1:17" s="2021" customFormat="1" ht="23.25" customHeight="1">
      <c r="A15" s="3042"/>
      <c r="B15" s="1077"/>
      <c r="C15" s="346"/>
      <c r="D15" s="729"/>
      <c r="E15" s="355"/>
      <c r="F15" s="1417" t="s">
        <v>1905</v>
      </c>
      <c r="G15" s="1459"/>
      <c r="H15" s="1459"/>
      <c r="I15" s="122"/>
      <c r="J15" s="122"/>
      <c r="K15" s="122"/>
      <c r="L15" s="122"/>
      <c r="M15" s="122"/>
      <c r="N15" s="3379"/>
      <c r="O15" s="1453"/>
      <c r="P15" s="445"/>
      <c r="Q15" s="357">
        <v>22</v>
      </c>
    </row>
    <row r="16" spans="1:17" s="2019" customFormat="1" ht="22" customHeight="1">
      <c r="A16" s="1072"/>
      <c r="B16" s="1077"/>
      <c r="C16" s="1072"/>
      <c r="D16" s="385"/>
      <c r="E16" s="115"/>
      <c r="F16" s="115"/>
      <c r="G16" s="115"/>
      <c r="H16" s="115"/>
      <c r="I16" s="115"/>
      <c r="J16" s="115"/>
      <c r="K16" s="115"/>
      <c r="L16" s="115"/>
      <c r="M16" s="443"/>
      <c r="N16" s="1552"/>
      <c r="O16" s="434"/>
      <c r="P16" s="434"/>
      <c r="Q16" s="441">
        <v>21</v>
      </c>
    </row>
    <row r="17" spans="1:17" s="2019" customFormat="1" ht="14.65" customHeight="1">
      <c r="A17" s="1072"/>
      <c r="B17" s="1077"/>
      <c r="C17" s="1072"/>
      <c r="D17" s="385"/>
      <c r="E17" s="1072"/>
      <c r="F17" s="1072"/>
      <c r="G17" s="1072"/>
      <c r="H17" s="1072"/>
      <c r="I17" s="1072"/>
      <c r="J17" s="1072"/>
      <c r="K17" s="1072"/>
      <c r="L17" s="1072"/>
      <c r="M17" s="1072"/>
      <c r="N17" s="1548"/>
      <c r="O17" s="434"/>
      <c r="P17" s="434"/>
      <c r="Q17" s="441">
        <v>14</v>
      </c>
    </row>
    <row r="18" spans="1:17" s="2019" customFormat="1" ht="1" customHeight="1">
      <c r="A18" s="1072"/>
      <c r="B18" s="1077"/>
      <c r="C18" s="1072"/>
      <c r="D18" s="385"/>
      <c r="E18" s="1072"/>
      <c r="F18" s="1072"/>
      <c r="G18" s="1072"/>
      <c r="H18" s="1072"/>
      <c r="I18" s="1072"/>
      <c r="J18" s="1072"/>
      <c r="K18" s="1072"/>
      <c r="L18" s="1072"/>
      <c r="M18" s="1072"/>
      <c r="N18" s="1548"/>
      <c r="O18" s="434"/>
      <c r="P18" s="434"/>
      <c r="Q18" s="441">
        <v>1</v>
      </c>
    </row>
    <row r="19" spans="1:17" ht="22.5" hidden="1" customHeight="1">
      <c r="A19" s="1072" t="s">
        <v>83</v>
      </c>
      <c r="B19" s="1077">
        <v>0</v>
      </c>
      <c r="C19" s="1072">
        <v>0</v>
      </c>
      <c r="D19" s="385">
        <v>3</v>
      </c>
      <c r="E19" s="1072">
        <v>6</v>
      </c>
      <c r="F19" s="1072">
        <v>27</v>
      </c>
      <c r="G19" s="1072">
        <v>29</v>
      </c>
      <c r="H19" s="1072">
        <v>25</v>
      </c>
      <c r="I19" s="1072">
        <v>5</v>
      </c>
      <c r="J19" s="1072">
        <v>6</v>
      </c>
      <c r="K19" s="1072">
        <v>41</v>
      </c>
      <c r="L19" s="1072">
        <v>42</v>
      </c>
      <c r="M19" s="1072">
        <v>41</v>
      </c>
      <c r="N19" s="1548">
        <v>89</v>
      </c>
      <c r="O19" s="434">
        <v>3</v>
      </c>
      <c r="P19" s="434">
        <v>8</v>
      </c>
      <c r="Q19" s="1072">
        <v>23</v>
      </c>
    </row>
  </sheetData>
  <sheetProtection formatColumns="0" formatRows="0" insertRows="0" deleteColumns="0" deleteRows="0" sort="0" autoFilter="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xr:uid="{00000000-0002-0000-37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xr:uid="{00000000-0002-0000-3700-000001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F4062-A0F5-A24B-7CC3-6FF02BAD37B9}">
  <sheetPr>
    <tabColor rgb="FFEAEBEE"/>
    <pageSetUpPr fitToPage="1"/>
  </sheetPr>
  <dimension ref="A1:M16"/>
  <sheetViews>
    <sheetView showGridLines="0" topLeftCell="C4" zoomScale="90" workbookViewId="0"/>
  </sheetViews>
  <sheetFormatPr defaultColWidth="9.09765625" defaultRowHeight="14.25" customHeight="1"/>
  <cols>
    <col min="1" max="1" width="9.09765625" style="2203" hidden="1"/>
    <col min="2" max="2" width="9.09765625" style="2994" hidden="1"/>
    <col min="3" max="3" width="3" style="3004" customWidth="1"/>
    <col min="4" max="4" width="6" style="2994" customWidth="1"/>
    <col min="5" max="5" width="22" style="2994" customWidth="1"/>
    <col min="6" max="6" width="15" style="2994" customWidth="1"/>
    <col min="7" max="7" width="14" style="2994" customWidth="1"/>
    <col min="8" max="8" width="47" style="2994" customWidth="1"/>
    <col min="9" max="9" width="115" style="2994" customWidth="1"/>
    <col min="10" max="10" width="3" style="2994" customWidth="1"/>
    <col min="11" max="12" width="8" style="2994" customWidth="1"/>
    <col min="13" max="13" width="9.09765625" style="2994" hidden="1"/>
  </cols>
  <sheetData>
    <row r="1" spans="1:13" ht="14.25" hidden="1" customHeight="1">
      <c r="M1" s="59" t="s">
        <v>14</v>
      </c>
    </row>
    <row r="2" spans="1:13" ht="14.25" hidden="1" customHeight="1">
      <c r="M2" s="59">
        <v>0</v>
      </c>
    </row>
    <row r="3" spans="1:13" ht="14.25" hidden="1" customHeight="1">
      <c r="M3" s="59">
        <v>0</v>
      </c>
    </row>
    <row r="4" spans="1:13" ht="3" customHeight="1">
      <c r="M4" s="59">
        <v>3</v>
      </c>
    </row>
    <row r="5" spans="1:13" s="2004" customFormat="1" ht="31.5" customHeight="1">
      <c r="A5" s="53"/>
      <c r="C5" s="28"/>
      <c r="D5" s="3043" t="s">
        <v>1920</v>
      </c>
      <c r="E5" s="3043"/>
      <c r="F5" s="3043"/>
      <c r="G5" s="3043"/>
      <c r="H5" s="3043"/>
      <c r="I5" s="200"/>
      <c r="M5" s="21">
        <v>30</v>
      </c>
    </row>
    <row r="6" spans="1:13" ht="3" hidden="1" customHeight="1">
      <c r="D6" s="60"/>
      <c r="E6" s="60"/>
      <c r="F6" s="60"/>
      <c r="G6" s="60"/>
      <c r="H6" s="60"/>
      <c r="I6" s="60"/>
      <c r="M6" s="59">
        <v>0</v>
      </c>
    </row>
    <row r="7" spans="1:13" s="2203" customFormat="1" ht="14.65" customHeight="1">
      <c r="B7" s="57"/>
      <c r="C7" s="58"/>
      <c r="D7" s="61"/>
      <c r="E7" s="61"/>
      <c r="F7" s="61"/>
      <c r="G7" s="61"/>
      <c r="H7" s="686"/>
      <c r="I7" s="61"/>
      <c r="J7" s="62"/>
      <c r="M7" s="56">
        <v>14</v>
      </c>
    </row>
    <row r="8" spans="1:13" ht="14.65" customHeight="1">
      <c r="D8" s="3159" t="s">
        <v>335</v>
      </c>
      <c r="E8" s="3159"/>
      <c r="F8" s="3159"/>
      <c r="G8" s="3159"/>
      <c r="H8" s="3159"/>
      <c r="I8" s="3159" t="s">
        <v>336</v>
      </c>
      <c r="M8" s="59">
        <v>14</v>
      </c>
    </row>
    <row r="9" spans="1:13" ht="29.25" customHeight="1">
      <c r="D9" s="3159" t="s">
        <v>89</v>
      </c>
      <c r="E9" s="3159" t="s">
        <v>1921</v>
      </c>
      <c r="F9" s="3159"/>
      <c r="G9" s="3159"/>
      <c r="H9" s="3159"/>
      <c r="I9" s="3159"/>
      <c r="M9" s="59">
        <v>28</v>
      </c>
    </row>
    <row r="10" spans="1:13" ht="24" customHeight="1">
      <c r="D10" s="3159"/>
      <c r="E10" s="65" t="s">
        <v>1922</v>
      </c>
      <c r="F10" s="65" t="s">
        <v>1923</v>
      </c>
      <c r="G10" s="65" t="s">
        <v>1924</v>
      </c>
      <c r="H10" s="65" t="s">
        <v>425</v>
      </c>
      <c r="I10" s="3159"/>
      <c r="M10" s="59">
        <v>23</v>
      </c>
    </row>
    <row r="11" spans="1:13" ht="12" hidden="1" customHeight="1">
      <c r="D11" s="25" t="s">
        <v>124</v>
      </c>
      <c r="E11" s="25" t="s">
        <v>92</v>
      </c>
      <c r="F11" s="25" t="s">
        <v>125</v>
      </c>
      <c r="G11" s="25" t="s">
        <v>93</v>
      </c>
      <c r="H11" s="25" t="s">
        <v>94</v>
      </c>
      <c r="I11" s="25" t="s">
        <v>126</v>
      </c>
      <c r="M11" s="59">
        <v>0</v>
      </c>
    </row>
    <row r="12" spans="1:13" s="2994" customFormat="1" ht="26.25" customHeight="1">
      <c r="A12" s="81" t="s">
        <v>91</v>
      </c>
      <c r="B12" s="63" t="s">
        <v>28</v>
      </c>
      <c r="C12" s="64"/>
      <c r="D12" s="66" t="s">
        <v>124</v>
      </c>
      <c r="E12" s="315"/>
      <c r="F12" s="315"/>
      <c r="G12" s="1650" t="s">
        <v>28</v>
      </c>
      <c r="H12" s="316"/>
      <c r="I12" s="3124" t="s">
        <v>1925</v>
      </c>
      <c r="K12" s="207"/>
      <c r="L12" s="208"/>
      <c r="M12" s="55">
        <v>25</v>
      </c>
    </row>
    <row r="13" spans="1:13" ht="15.75" customHeight="1">
      <c r="A13" s="59"/>
      <c r="B13" s="59"/>
      <c r="C13" s="59"/>
      <c r="D13" s="47"/>
      <c r="E13" s="68" t="s">
        <v>501</v>
      </c>
      <c r="F13" s="67"/>
      <c r="G13" s="67"/>
      <c r="H13" s="149"/>
      <c r="I13" s="3126"/>
      <c r="M13" s="59">
        <v>15</v>
      </c>
    </row>
    <row r="14" spans="1:13" ht="3" customHeight="1">
      <c r="A14" s="59"/>
      <c r="B14" s="59"/>
      <c r="C14" s="59"/>
      <c r="M14" s="59">
        <v>3</v>
      </c>
    </row>
    <row r="15" spans="1:13" ht="29.25" customHeight="1">
      <c r="E15" s="3386" t="s">
        <v>1926</v>
      </c>
      <c r="F15" s="3386"/>
      <c r="G15" s="3386"/>
      <c r="H15" s="3386"/>
      <c r="M15" s="59">
        <v>28</v>
      </c>
    </row>
    <row r="16" spans="1:13" ht="14.25" hidden="1" customHeight="1">
      <c r="A16" s="56" t="s">
        <v>83</v>
      </c>
      <c r="B16" s="57">
        <v>0</v>
      </c>
      <c r="C16" s="58">
        <v>3</v>
      </c>
      <c r="D16" s="59">
        <v>6</v>
      </c>
      <c r="E16" s="59">
        <v>22</v>
      </c>
      <c r="F16" s="59">
        <v>15</v>
      </c>
      <c r="G16" s="59">
        <v>14</v>
      </c>
      <c r="H16" s="59">
        <v>47</v>
      </c>
      <c r="I16" s="59">
        <v>115</v>
      </c>
      <c r="J16" s="59">
        <v>3</v>
      </c>
      <c r="K16" s="59">
        <v>8</v>
      </c>
      <c r="L16" s="59">
        <v>8</v>
      </c>
      <c r="M16" s="59">
        <v>14</v>
      </c>
    </row>
  </sheetData>
  <sheetProtection formatColumns="0" formatRows="0" insertRows="0" deleteColumns="0" deleteRows="0" sort="0" autoFilter="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xr:uid="{00000000-0002-0000-3800-00000000000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xr:uid="{00000000-0002-0000-3800-000001000000}">
      <formula1>900</formula1>
    </dataValidation>
    <dataValidation type="textLength" operator="lessThanOrEqual" allowBlank="1" showInputMessage="1" showErrorMessage="1" errorTitle="Ошибка" error="Допускается ввод не более 900 символов!" sqref="E12:F12" xr:uid="{00000000-0002-0000-3800-000002000000}">
      <formula1>900</formula1>
    </dataValidation>
  </dataValidations>
  <printOptions horizontalCentered="1"/>
  <pageMargins left="0.24" right="0.24" top="0.24" bottom="0.24" header="0.24" footer="0.24"/>
  <pageSetup paperSize="9" scale="70" fitToHeight="0"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AE844D-D1B3-60A2-35CC-061B783D07FB}">
  <sheetPr>
    <tabColor rgb="FFCCCCFF"/>
    <pageSetUpPr fitToPage="1"/>
  </sheetPr>
  <dimension ref="A1:J16"/>
  <sheetViews>
    <sheetView showGridLines="0" topLeftCell="C6" zoomScale="90" workbookViewId="0">
      <selection activeCell="E13" sqref="E13"/>
    </sheetView>
  </sheetViews>
  <sheetFormatPr defaultColWidth="9.09765625" defaultRowHeight="14.25" customHeight="1"/>
  <cols>
    <col min="1" max="2" width="9.09765625" style="3006" hidden="1"/>
    <col min="3" max="3" width="3" style="3005" customWidth="1"/>
    <col min="4" max="4" width="6" style="3006" customWidth="1"/>
    <col min="5" max="5" width="94" style="3006" customWidth="1"/>
    <col min="6" max="9" width="8" style="3006" customWidth="1"/>
    <col min="10" max="10" width="9.09765625" style="3006" hidden="1"/>
  </cols>
  <sheetData>
    <row r="1" spans="1:10" ht="14.25" hidden="1" customHeight="1">
      <c r="J1" s="7" t="s">
        <v>14</v>
      </c>
    </row>
    <row r="2" spans="1:10" ht="14.25" hidden="1" customHeight="1">
      <c r="J2" s="7">
        <v>0</v>
      </c>
    </row>
    <row r="3" spans="1:10" ht="14.25" hidden="1" customHeight="1">
      <c r="J3" s="7">
        <v>0</v>
      </c>
    </row>
    <row r="4" spans="1:10" ht="14.25" hidden="1" customHeight="1">
      <c r="J4" s="7">
        <v>0</v>
      </c>
    </row>
    <row r="5" spans="1:10" ht="14.25" hidden="1" customHeight="1">
      <c r="J5" s="7">
        <v>0</v>
      </c>
    </row>
    <row r="6" spans="1:10" ht="3" customHeight="1">
      <c r="C6" s="30"/>
      <c r="D6" s="8"/>
      <c r="E6" s="8"/>
      <c r="J6" s="7">
        <v>3</v>
      </c>
    </row>
    <row r="7" spans="1:10" ht="23.25" customHeight="1">
      <c r="C7" s="30"/>
      <c r="D7" s="3387" t="s">
        <v>1927</v>
      </c>
      <c r="E7" s="3388"/>
      <c r="F7" s="202"/>
      <c r="J7" s="7">
        <v>22</v>
      </c>
    </row>
    <row r="8" spans="1:10" ht="3" customHeight="1">
      <c r="C8" s="30"/>
      <c r="D8" s="8"/>
      <c r="E8" s="8"/>
      <c r="J8" s="7">
        <v>3</v>
      </c>
    </row>
    <row r="9" spans="1:10" ht="16.75" customHeight="1">
      <c r="C9" s="30"/>
      <c r="D9" s="43" t="s">
        <v>89</v>
      </c>
      <c r="E9" s="195" t="s">
        <v>1928</v>
      </c>
      <c r="J9" s="7">
        <v>16</v>
      </c>
    </row>
    <row r="10" spans="1:10" ht="1" customHeight="1">
      <c r="C10" s="30"/>
      <c r="D10" s="25"/>
      <c r="E10" s="25"/>
      <c r="J10" s="7">
        <v>1</v>
      </c>
    </row>
    <row r="11" spans="1:10" ht="11.25" hidden="1" customHeight="1">
      <c r="C11" s="30"/>
      <c r="D11" s="86">
        <v>0</v>
      </c>
      <c r="E11" s="196"/>
      <c r="J11" s="7">
        <v>0</v>
      </c>
    </row>
    <row r="12" spans="1:10" ht="15.75" customHeight="1">
      <c r="C12" s="73"/>
      <c r="D12" s="51">
        <v>1</v>
      </c>
      <c r="E12" s="311" t="s">
        <v>1929</v>
      </c>
      <c r="J12" s="7">
        <v>15</v>
      </c>
    </row>
    <row r="13" spans="1:10" ht="12.75" customHeight="1">
      <c r="C13" s="30"/>
      <c r="D13" s="197"/>
      <c r="E13" s="198" t="s">
        <v>1930</v>
      </c>
      <c r="J13" s="7">
        <v>12</v>
      </c>
    </row>
    <row r="14" spans="1:10" ht="3" customHeight="1">
      <c r="J14" s="7">
        <v>3</v>
      </c>
    </row>
    <row r="15" spans="1:10" ht="23.25" customHeight="1">
      <c r="C15" s="74"/>
      <c r="D15" s="3386" t="s">
        <v>1931</v>
      </c>
      <c r="E15" s="3386"/>
      <c r="F15" s="75"/>
      <c r="G15" s="75"/>
      <c r="H15" s="75"/>
      <c r="I15" s="75"/>
      <c r="J15" s="7">
        <v>22</v>
      </c>
    </row>
    <row r="16" spans="1:10" ht="14.25" hidden="1" customHeight="1">
      <c r="A16" s="7" t="s">
        <v>83</v>
      </c>
      <c r="B16" s="7">
        <v>0</v>
      </c>
      <c r="C16" s="29">
        <v>3</v>
      </c>
      <c r="D16" s="7">
        <v>6</v>
      </c>
      <c r="E16" s="7">
        <v>94</v>
      </c>
      <c r="F16" s="7">
        <v>8</v>
      </c>
      <c r="G16" s="7">
        <v>8</v>
      </c>
      <c r="H16" s="7">
        <v>8</v>
      </c>
      <c r="I16" s="7">
        <v>8</v>
      </c>
      <c r="J16" s="7">
        <v>14</v>
      </c>
    </row>
  </sheetData>
  <sheetProtection formatColumns="0" formatRows="0" insertRows="0" deleteColumns="0" deleteRows="0" sort="0" autoFilter="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xr:uid="{00000000-0002-0000-3900-000000000000}">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FF7355-B73A-1103-8AB5-9BBF5D5EB2D6}">
  <sheetPr>
    <tabColor rgb="FFCCCCFF"/>
    <pageSetUpPr fitToPage="1"/>
  </sheetPr>
  <dimension ref="A1:M13"/>
  <sheetViews>
    <sheetView showGridLines="0" topLeftCell="C6" zoomScale="90" workbookViewId="0"/>
  </sheetViews>
  <sheetFormatPr defaultColWidth="9.09765625" defaultRowHeight="14.25" customHeight="1"/>
  <cols>
    <col min="1" max="2" width="9.09765625" style="3006" hidden="1"/>
    <col min="3" max="3" width="3" style="3005" customWidth="1"/>
    <col min="4" max="4" width="6" style="3006" customWidth="1"/>
    <col min="5" max="5" width="94" style="3006" customWidth="1"/>
    <col min="6" max="12" width="8" style="3006" customWidth="1"/>
    <col min="13" max="13" width="9.09765625" style="3006" hidden="1"/>
  </cols>
  <sheetData>
    <row r="1" spans="1:13" ht="14.25" hidden="1" customHeight="1">
      <c r="L1" s="199"/>
      <c r="M1" s="7" t="s">
        <v>14</v>
      </c>
    </row>
    <row r="2" spans="1:13" ht="14.25" hidden="1" customHeight="1">
      <c r="M2" s="7">
        <v>0</v>
      </c>
    </row>
    <row r="3" spans="1:13" ht="14.25" hidden="1" customHeight="1">
      <c r="M3" s="7">
        <v>0</v>
      </c>
    </row>
    <row r="4" spans="1:13" ht="14.25" hidden="1" customHeight="1">
      <c r="M4" s="7">
        <v>0</v>
      </c>
    </row>
    <row r="5" spans="1:13" ht="14.25" hidden="1" customHeight="1">
      <c r="M5" s="7">
        <v>0</v>
      </c>
    </row>
    <row r="6" spans="1:13" ht="3" customHeight="1">
      <c r="C6" s="30"/>
      <c r="D6" s="8"/>
      <c r="E6" s="8"/>
      <c r="M6" s="7">
        <v>3</v>
      </c>
    </row>
    <row r="7" spans="1:13" ht="23.25" customHeight="1">
      <c r="C7" s="30"/>
      <c r="D7" s="3043" t="s">
        <v>1932</v>
      </c>
      <c r="E7" s="3043"/>
      <c r="F7" s="202"/>
      <c r="M7" s="7">
        <v>22</v>
      </c>
    </row>
    <row r="8" spans="1:13" ht="3" customHeight="1">
      <c r="C8" s="30"/>
      <c r="D8" s="8"/>
      <c r="E8" s="8"/>
      <c r="M8" s="7">
        <v>3</v>
      </c>
    </row>
    <row r="9" spans="1:13" ht="16.75" customHeight="1">
      <c r="C9" s="30"/>
      <c r="D9" s="43" t="s">
        <v>89</v>
      </c>
      <c r="E9" s="46" t="s">
        <v>322</v>
      </c>
      <c r="M9" s="7">
        <v>16</v>
      </c>
    </row>
    <row r="10" spans="1:13" ht="12.75" customHeight="1">
      <c r="C10" s="30"/>
      <c r="D10" s="25" t="s">
        <v>124</v>
      </c>
      <c r="E10" s="25" t="s">
        <v>104</v>
      </c>
      <c r="M10" s="7">
        <v>12</v>
      </c>
    </row>
    <row r="11" spans="1:13" ht="15" hidden="1" customHeight="1">
      <c r="C11" s="30"/>
      <c r="D11" s="51">
        <v>0</v>
      </c>
      <c r="E11" s="85"/>
      <c r="M11" s="7">
        <v>0</v>
      </c>
    </row>
    <row r="12" spans="1:13" ht="14.65" customHeight="1">
      <c r="C12" s="30"/>
      <c r="D12" s="47"/>
      <c r="E12" s="45" t="s">
        <v>1930</v>
      </c>
      <c r="M12" s="7">
        <v>14</v>
      </c>
    </row>
    <row r="13" spans="1:13" ht="14.25" hidden="1" customHeight="1">
      <c r="A13" s="7" t="s">
        <v>83</v>
      </c>
      <c r="B13" s="7">
        <v>0</v>
      </c>
      <c r="C13" s="29">
        <v>3</v>
      </c>
      <c r="D13" s="7">
        <v>6</v>
      </c>
      <c r="E13" s="7">
        <v>94</v>
      </c>
      <c r="F13" s="7">
        <v>8</v>
      </c>
      <c r="G13" s="7">
        <v>8</v>
      </c>
      <c r="H13" s="7">
        <v>8</v>
      </c>
      <c r="I13" s="7">
        <v>8</v>
      </c>
      <c r="J13" s="7">
        <v>8</v>
      </c>
      <c r="K13" s="7">
        <v>8</v>
      </c>
      <c r="L13" s="7">
        <v>8</v>
      </c>
      <c r="M13" s="7">
        <v>14</v>
      </c>
    </row>
  </sheetData>
  <sheetProtection formatColumns="0" formatRows="0" insertRows="0" deleteColumns="0" deleteRows="0" sort="0" autoFilter="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xr:uid="{00000000-0002-0000-3A00-000000000000}">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E82D8C-1022-EEF6-39E3-279216F6838F}">
  <sheetPr>
    <tabColor rgb="FFCCCCFF"/>
  </sheetPr>
  <dimension ref="A1:F5"/>
  <sheetViews>
    <sheetView showGridLines="0" zoomScale="90" workbookViewId="0"/>
  </sheetViews>
  <sheetFormatPr defaultColWidth="9.09765625" defaultRowHeight="11.25" customHeight="1"/>
  <cols>
    <col min="1" max="1" width="1.69921875" style="2021" customWidth="1"/>
    <col min="2" max="2" width="34.59765625" style="2021" customWidth="1"/>
    <col min="3" max="3" width="85" style="2021" customWidth="1"/>
    <col min="4" max="4" width="17" style="2021" customWidth="1"/>
    <col min="5" max="5" width="8" style="2021" customWidth="1"/>
    <col min="6" max="6" width="9.09765625" style="2021" hidden="1"/>
  </cols>
  <sheetData>
    <row r="1" spans="1:6" ht="3" customHeight="1">
      <c r="F1" s="27" t="s">
        <v>14</v>
      </c>
    </row>
    <row r="2" spans="1:6" ht="22.5" customHeight="1">
      <c r="B2" s="3389" t="s">
        <v>1933</v>
      </c>
      <c r="C2" s="3389"/>
      <c r="D2" s="3389"/>
      <c r="E2" s="203"/>
      <c r="F2" s="27">
        <v>22</v>
      </c>
    </row>
    <row r="3" spans="1:6" ht="3" customHeight="1">
      <c r="F3" s="27">
        <v>3</v>
      </c>
    </row>
    <row r="4" spans="1:6" ht="23.25" customHeight="1">
      <c r="B4" s="1988" t="s">
        <v>1934</v>
      </c>
      <c r="C4" s="317" t="s">
        <v>1935</v>
      </c>
      <c r="D4" s="317" t="s">
        <v>1936</v>
      </c>
      <c r="F4" s="27">
        <v>22</v>
      </c>
    </row>
    <row r="5" spans="1:6" ht="11.25" hidden="1" customHeight="1">
      <c r="A5" s="27" t="s">
        <v>83</v>
      </c>
      <c r="B5" s="27">
        <v>34</v>
      </c>
      <c r="C5" s="27">
        <v>85</v>
      </c>
      <c r="D5" s="27">
        <v>17</v>
      </c>
      <c r="E5" s="27">
        <v>8</v>
      </c>
      <c r="F5" s="27">
        <v>11</v>
      </c>
    </row>
  </sheetData>
  <sheetProtection formatColumns="0" formatRows="0" insertRows="0" deleteColumns="0" deleteRows="0" sort="0" autoFilter="0"/>
  <mergeCells count="1">
    <mergeCell ref="B2:D2"/>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15D339-5878-4C02-C65B-9FA6734C2EBB}">
  <sheetPr>
    <tabColor rgb="FFFFCC99"/>
  </sheetPr>
  <dimension ref="A2:GB215"/>
  <sheetViews>
    <sheetView showGridLines="0" zoomScale="85" workbookViewId="0"/>
  </sheetViews>
  <sheetFormatPr defaultColWidth="9.09765625" defaultRowHeight="17.149999999999999" customHeight="1"/>
  <cols>
    <col min="1" max="1" width="26.59765625" style="2021" customWidth="1"/>
    <col min="2" max="2" width="10" style="2021" customWidth="1"/>
    <col min="3" max="3" width="9.09765625" style="2021"/>
    <col min="4" max="4" width="11.09765625" style="2021" customWidth="1"/>
    <col min="5" max="5" width="16.59765625" style="2021" customWidth="1"/>
    <col min="6" max="6" width="16.296875" style="2021" customWidth="1"/>
    <col min="7" max="7" width="19.09765625" style="2021" customWidth="1"/>
    <col min="8" max="11" width="10" style="2021" customWidth="1"/>
    <col min="12" max="12" width="12.69921875" style="2021" customWidth="1"/>
    <col min="13" max="13" width="61.296875" style="2021" customWidth="1"/>
    <col min="14" max="14" width="10" style="2021" customWidth="1"/>
    <col min="15" max="17" width="23.69921875" style="2021" customWidth="1"/>
    <col min="18" max="18" width="11.69921875" style="2021" customWidth="1"/>
    <col min="19" max="19" width="8.59765625" style="2021" customWidth="1"/>
    <col min="20" max="20" width="11.69921875" style="2021" customWidth="1"/>
    <col min="21" max="21" width="8.59765625" style="2021" customWidth="1"/>
    <col min="22" max="22" width="4.69921875" style="2021" customWidth="1"/>
    <col min="23" max="23" width="115.69921875" style="2021" customWidth="1"/>
    <col min="24" max="24" width="115.296875" style="2021" customWidth="1"/>
    <col min="25" max="27" width="9.09765625" style="2021"/>
    <col min="28" max="28" width="115.69921875" style="2021" customWidth="1"/>
    <col min="29" max="29" width="9.09765625" style="2021"/>
    <col min="30" max="90" width="115.69921875" style="2021" customWidth="1"/>
    <col min="91" max="184" width="9.09765625" style="2021"/>
  </cols>
  <sheetData>
    <row r="2" spans="1:80" s="3007" customFormat="1" ht="17.25" customHeight="1">
      <c r="A2" s="1731" t="s">
        <v>1937</v>
      </c>
    </row>
    <row r="4" spans="1:80" s="3006" customFormat="1" ht="15" customHeight="1">
      <c r="C4" s="1732"/>
      <c r="D4" s="51"/>
      <c r="E4" s="311"/>
    </row>
    <row r="6" spans="1:80" s="3007" customFormat="1" ht="17.25" customHeight="1">
      <c r="A6" s="1731" t="s">
        <v>1938</v>
      </c>
    </row>
    <row r="8" spans="1:80" s="3006" customFormat="1" ht="17.25" customHeight="1">
      <c r="C8" s="1733"/>
      <c r="D8" s="51"/>
      <c r="E8" s="52"/>
    </row>
    <row r="11" spans="1:80" s="3007" customFormat="1" ht="17.25" customHeight="1">
      <c r="A11" s="1731" t="s">
        <v>1939</v>
      </c>
    </row>
    <row r="13" spans="1:80" s="2019" customFormat="1" ht="15" customHeight="1">
      <c r="A13" s="3041">
        <v>1</v>
      </c>
      <c r="B13" s="1077"/>
      <c r="C13" s="729" t="s">
        <v>105</v>
      </c>
      <c r="D13" s="1734"/>
      <c r="E13" s="1721">
        <f>A13</f>
        <v>1</v>
      </c>
      <c r="F13" s="732"/>
      <c r="G13" s="474" t="str">
        <f>"Территория "&amp;E13</f>
        <v>Территория 1</v>
      </c>
      <c r="H13" s="720"/>
      <c r="I13" s="720"/>
      <c r="J13" s="717"/>
      <c r="K13" s="1541"/>
      <c r="L13" s="1541"/>
      <c r="M13" s="1541"/>
      <c r="N13" s="161"/>
      <c r="O13" s="1541"/>
      <c r="P13" s="160"/>
      <c r="Q13" s="160"/>
      <c r="R13" s="160"/>
      <c r="S13" s="160"/>
    </row>
    <row r="14" spans="1:80" s="2021" customFormat="1" ht="15" customHeight="1">
      <c r="A14" s="3041"/>
      <c r="B14" s="1077">
        <v>1</v>
      </c>
      <c r="C14" s="1077"/>
      <c r="D14" s="728"/>
      <c r="E14" s="1729" t="str">
        <f>A13&amp;"."&amp;B14</f>
        <v>1.1</v>
      </c>
      <c r="F14" s="731">
        <f>$F$20</f>
        <v>0</v>
      </c>
      <c r="G14" s="721"/>
      <c r="H14" s="721"/>
      <c r="I14" s="719"/>
      <c r="J14" s="1541"/>
      <c r="K14" s="1553"/>
      <c r="L14" s="1553"/>
      <c r="M14" s="1541" t="str">
        <f t="array" ref="M14">IF(ISERROR(MATCH(MID(N14,1,250),MID(note_ter,1,250),0)),"n","y")</f>
        <v>n</v>
      </c>
      <c r="N14" s="1553"/>
      <c r="O14" s="1541" t="str">
        <f>H14&amp;"("&amp;I14&amp;")"</f>
        <v>()</v>
      </c>
      <c r="P14" s="1077"/>
      <c r="Q14" s="1077"/>
      <c r="R14" s="354"/>
      <c r="S14" s="1077"/>
      <c r="T14" s="1077"/>
      <c r="U14" s="1077"/>
      <c r="V14" s="356"/>
      <c r="W14" s="356"/>
      <c r="X14" s="353"/>
      <c r="Y14" s="353"/>
      <c r="Z14" s="353"/>
      <c r="AA14" s="353"/>
      <c r="AB14" s="353"/>
      <c r="AC14" s="353"/>
      <c r="AD14" s="353"/>
      <c r="AE14" s="353"/>
      <c r="AF14" s="353"/>
      <c r="AG14" s="353"/>
      <c r="AH14" s="353"/>
      <c r="AI14" s="353"/>
      <c r="AJ14" s="353"/>
      <c r="AK14" s="353"/>
      <c r="AL14" s="353"/>
      <c r="AM14" s="353"/>
      <c r="AN14" s="353"/>
      <c r="AO14" s="353"/>
      <c r="AP14" s="353"/>
      <c r="AQ14" s="353"/>
      <c r="AR14" s="353"/>
      <c r="AS14" s="353"/>
      <c r="AT14" s="353"/>
      <c r="AU14" s="353"/>
      <c r="AV14" s="353"/>
      <c r="AW14" s="353"/>
      <c r="AX14" s="353"/>
      <c r="AY14" s="353"/>
      <c r="AZ14" s="353"/>
      <c r="BA14" s="353"/>
      <c r="BB14" s="353"/>
      <c r="BC14" s="353"/>
      <c r="BD14" s="353"/>
      <c r="BE14" s="353"/>
      <c r="BF14" s="353"/>
      <c r="BG14" s="353"/>
      <c r="BH14" s="353"/>
      <c r="BI14" s="353"/>
      <c r="BJ14" s="353"/>
      <c r="BK14" s="353"/>
      <c r="BL14" s="353"/>
      <c r="BM14" s="353"/>
      <c r="BN14" s="353"/>
      <c r="BO14" s="353"/>
      <c r="BP14" s="353"/>
      <c r="BQ14" s="353"/>
      <c r="BR14" s="353"/>
      <c r="BS14" s="356"/>
      <c r="BT14" s="356"/>
      <c r="BU14" s="356"/>
      <c r="BV14" s="356"/>
      <c r="BW14" s="356"/>
      <c r="BX14" s="356"/>
      <c r="BY14" s="356"/>
      <c r="BZ14" s="356"/>
      <c r="CA14" s="356"/>
      <c r="CB14" s="356"/>
    </row>
    <row r="15" spans="1:80" s="2021" customFormat="1" ht="15" customHeight="1">
      <c r="A15" s="3041"/>
      <c r="B15" s="1077"/>
      <c r="C15" s="346"/>
      <c r="D15" s="729"/>
      <c r="E15" s="355"/>
      <c r="F15" s="112"/>
      <c r="G15" s="349" t="s">
        <v>103</v>
      </c>
      <c r="H15" s="122"/>
      <c r="I15" s="358"/>
      <c r="J15" s="1553"/>
      <c r="K15" s="1553"/>
      <c r="L15" s="1553"/>
      <c r="M15" s="1553"/>
      <c r="N15" s="1541"/>
      <c r="O15" s="1553"/>
      <c r="P15" s="1077"/>
      <c r="Q15" s="1077"/>
      <c r="R15" s="354"/>
      <c r="S15" s="1077"/>
      <c r="T15" s="1077"/>
      <c r="U15" s="1077"/>
      <c r="V15" s="356"/>
      <c r="W15" s="356"/>
      <c r="X15" s="353"/>
      <c r="Y15" s="353"/>
      <c r="Z15" s="353"/>
      <c r="AA15" s="353"/>
      <c r="AB15" s="353"/>
      <c r="AC15" s="353"/>
      <c r="AD15" s="353"/>
      <c r="AE15" s="353"/>
      <c r="AF15" s="353"/>
      <c r="AG15" s="353"/>
      <c r="AH15" s="353"/>
      <c r="AI15" s="353"/>
      <c r="AJ15" s="353"/>
      <c r="AK15" s="353"/>
      <c r="AL15" s="353"/>
      <c r="AM15" s="353"/>
      <c r="AN15" s="353"/>
      <c r="AO15" s="353"/>
      <c r="AP15" s="353"/>
      <c r="AQ15" s="353"/>
      <c r="AR15" s="353"/>
      <c r="AS15" s="353"/>
      <c r="AT15" s="353"/>
      <c r="AU15" s="353"/>
      <c r="AV15" s="353"/>
      <c r="AW15" s="353"/>
      <c r="AX15" s="353"/>
      <c r="AY15" s="353"/>
      <c r="AZ15" s="353"/>
      <c r="BA15" s="353"/>
      <c r="BB15" s="353"/>
      <c r="BC15" s="353"/>
      <c r="BD15" s="353"/>
      <c r="BE15" s="353"/>
      <c r="BF15" s="353"/>
      <c r="BG15" s="353"/>
      <c r="BH15" s="353"/>
      <c r="BI15" s="353"/>
      <c r="BJ15" s="353"/>
      <c r="BK15" s="353"/>
      <c r="BL15" s="353"/>
      <c r="BM15" s="353"/>
      <c r="BN15" s="353"/>
      <c r="BO15" s="353"/>
      <c r="BP15" s="353"/>
      <c r="BQ15" s="353"/>
      <c r="BR15" s="353"/>
      <c r="BS15" s="356"/>
      <c r="BT15" s="356"/>
      <c r="BU15" s="356"/>
      <c r="BV15" s="356"/>
      <c r="BW15" s="356"/>
      <c r="BX15" s="356"/>
      <c r="BY15" s="356"/>
      <c r="BZ15" s="356"/>
      <c r="CA15" s="356"/>
      <c r="CB15" s="356"/>
    </row>
    <row r="17" spans="1:80" s="3007" customFormat="1" ht="17.25" customHeight="1">
      <c r="A17" s="1731" t="s">
        <v>1940</v>
      </c>
    </row>
    <row r="19" spans="1:80" s="2021" customFormat="1" ht="15" customHeight="1">
      <c r="A19" s="1796"/>
      <c r="B19" s="1283">
        <v>1</v>
      </c>
      <c r="C19" s="1283"/>
      <c r="D19" s="728" t="s">
        <v>105</v>
      </c>
      <c r="E19" s="1792"/>
      <c r="F19" s="1797">
        <f>$F$20</f>
        <v>0</v>
      </c>
      <c r="G19" s="1801"/>
      <c r="H19" s="1801"/>
      <c r="I19" s="1799"/>
      <c r="J19" s="1541"/>
      <c r="K19" s="1553"/>
      <c r="L19" s="1553"/>
      <c r="M19" s="1541" t="str">
        <f t="array" ref="M19">IF(ISERROR(MATCH(MID(N19,1,250),MID(note_ter,1,250),0)),"n","y")</f>
        <v>n</v>
      </c>
      <c r="N19" s="1553"/>
      <c r="O19" s="1541" t="str">
        <f>H19&amp;"("&amp;I19&amp;")"</f>
        <v>()</v>
      </c>
      <c r="P19" s="1283"/>
      <c r="Q19" s="1283"/>
      <c r="R19" s="354"/>
      <c r="S19" s="1283"/>
      <c r="T19" s="1283"/>
      <c r="U19" s="1283"/>
      <c r="V19" s="761"/>
      <c r="W19" s="761"/>
      <c r="X19" s="561"/>
      <c r="Y19" s="561"/>
      <c r="Z19" s="561"/>
      <c r="AA19" s="561"/>
      <c r="AB19" s="561"/>
      <c r="AC19" s="561"/>
      <c r="AD19" s="561"/>
      <c r="AE19" s="561"/>
      <c r="AF19" s="561"/>
      <c r="AG19" s="561"/>
      <c r="AH19" s="561"/>
      <c r="AI19" s="561"/>
      <c r="AJ19" s="561"/>
      <c r="AK19" s="561"/>
      <c r="AL19" s="561"/>
      <c r="AM19" s="561"/>
      <c r="AN19" s="561"/>
      <c r="AO19" s="561"/>
      <c r="AP19" s="561"/>
      <c r="AQ19" s="561"/>
      <c r="AR19" s="561"/>
      <c r="AS19" s="561"/>
      <c r="AT19" s="561"/>
      <c r="AU19" s="561"/>
      <c r="AV19" s="561"/>
      <c r="AW19" s="561"/>
      <c r="AX19" s="561"/>
      <c r="AY19" s="561"/>
      <c r="AZ19" s="561"/>
      <c r="BA19" s="561"/>
      <c r="BB19" s="561"/>
      <c r="BC19" s="561"/>
      <c r="BD19" s="561"/>
      <c r="BE19" s="561"/>
      <c r="BF19" s="561"/>
      <c r="BG19" s="561"/>
      <c r="BH19" s="561"/>
      <c r="BI19" s="561"/>
      <c r="BJ19" s="561"/>
      <c r="BK19" s="561"/>
      <c r="BL19" s="561"/>
      <c r="BM19" s="561"/>
      <c r="BN19" s="561"/>
      <c r="BO19" s="561"/>
      <c r="BP19" s="561"/>
      <c r="BQ19" s="561"/>
      <c r="BR19" s="561"/>
      <c r="BS19" s="761"/>
      <c r="BT19" s="761"/>
      <c r="BU19" s="761"/>
      <c r="BV19" s="761"/>
      <c r="BW19" s="761"/>
      <c r="BX19" s="761"/>
      <c r="BY19" s="761"/>
      <c r="BZ19" s="761"/>
      <c r="CA19" s="761"/>
      <c r="CB19" s="761"/>
    </row>
    <row r="21" spans="1:80" s="2021" customFormat="1" ht="15" customHeight="1">
      <c r="A21" s="1731" t="s">
        <v>1941</v>
      </c>
      <c r="B21" s="1731"/>
      <c r="C21" s="1731"/>
      <c r="D21" s="1731"/>
      <c r="E21" s="1731"/>
      <c r="F21" s="1731"/>
      <c r="G21" s="1731"/>
      <c r="H21" s="1731"/>
      <c r="I21" s="1731"/>
      <c r="J21" s="1731"/>
      <c r="K21" s="1731"/>
      <c r="L21" s="1731"/>
      <c r="M21" s="1731"/>
      <c r="N21" s="1731"/>
      <c r="O21" s="1731"/>
      <c r="P21" s="1731"/>
      <c r="Q21" s="1731"/>
      <c r="R21" s="1731"/>
      <c r="S21" s="1731"/>
      <c r="T21" s="1731"/>
      <c r="U21" s="119"/>
      <c r="V21" s="1731"/>
      <c r="W21" s="1731"/>
    </row>
    <row r="22" spans="1:80" s="2021" customFormat="1" ht="15" customHeight="1">
      <c r="U22" s="120"/>
    </row>
    <row r="23" spans="1:80" s="2028" customFormat="1" ht="15" customHeight="1">
      <c r="A23" s="357"/>
      <c r="B23" s="357"/>
      <c r="C23" s="1644" t="s">
        <v>105</v>
      </c>
      <c r="D23" s="3049" t="s">
        <v>124</v>
      </c>
      <c r="E23" s="3050"/>
      <c r="F23" s="3048" t="s">
        <v>19</v>
      </c>
      <c r="G23" s="3430"/>
      <c r="H23" s="3067">
        <v>1</v>
      </c>
      <c r="I23" s="3432" t="str">
        <f>IF(U23="","",INDEX(TERRITORY_MR_LIST,MATCH(U23,TERRITORY_LIST_ID,0)))</f>
        <v/>
      </c>
      <c r="J23" s="3048" t="s">
        <v>19</v>
      </c>
      <c r="K23" s="760"/>
      <c r="L23" s="1698" t="s">
        <v>124</v>
      </c>
      <c r="M23" s="537"/>
      <c r="N23" s="538"/>
      <c r="O23" s="538"/>
      <c r="P23" s="538"/>
      <c r="Q23" s="538"/>
      <c r="R23" s="538"/>
      <c r="S23" s="538"/>
      <c r="T23" s="538"/>
      <c r="U23" s="539"/>
      <c r="V23" s="538"/>
      <c r="W23" s="538"/>
      <c r="X23" s="529"/>
      <c r="Y23" s="529" t="s">
        <v>132</v>
      </c>
      <c r="Z23" s="529">
        <v>1705000</v>
      </c>
      <c r="AA23" s="529"/>
      <c r="AB23" s="529"/>
      <c r="AC23" s="529"/>
      <c r="AD23" s="529"/>
      <c r="AE23" s="529"/>
      <c r="AF23" s="529"/>
      <c r="AG23" s="529"/>
      <c r="AH23" s="529"/>
      <c r="AI23" s="529"/>
      <c r="AJ23" s="529"/>
      <c r="AK23" s="529"/>
      <c r="AL23" s="529"/>
    </row>
    <row r="24" spans="1:80" s="2028" customFormat="1" ht="15" customHeight="1">
      <c r="A24" s="357"/>
      <c r="B24" s="357"/>
      <c r="C24" s="111"/>
      <c r="D24" s="3049"/>
      <c r="E24" s="3051"/>
      <c r="F24" s="3048"/>
      <c r="G24" s="3431"/>
      <c r="H24" s="3067"/>
      <c r="I24" s="3433"/>
      <c r="J24" s="3048"/>
      <c r="K24" s="355"/>
      <c r="L24" s="112"/>
      <c r="M24" s="541" t="s">
        <v>133</v>
      </c>
      <c r="N24" s="538"/>
      <c r="O24" s="538"/>
      <c r="P24" s="538"/>
      <c r="Q24" s="538"/>
      <c r="R24" s="538"/>
      <c r="S24" s="538"/>
      <c r="T24" s="538"/>
      <c r="U24" s="539"/>
      <c r="V24" s="538"/>
      <c r="W24" s="538"/>
      <c r="X24" s="529"/>
      <c r="Y24" s="529"/>
      <c r="Z24" s="529"/>
      <c r="AA24" s="529"/>
      <c r="AB24" s="529"/>
      <c r="AC24" s="529"/>
      <c r="AD24" s="529"/>
      <c r="AE24" s="529"/>
      <c r="AF24" s="529"/>
      <c r="AG24" s="529"/>
      <c r="AH24" s="529"/>
      <c r="AI24" s="529"/>
      <c r="AJ24" s="529"/>
      <c r="AK24" s="529"/>
      <c r="AL24" s="529"/>
    </row>
    <row r="25" spans="1:80" s="2028" customFormat="1" ht="15" customHeight="1">
      <c r="A25" s="357"/>
      <c r="B25" s="357"/>
      <c r="C25" s="111"/>
      <c r="D25" s="3049"/>
      <c r="E25" s="3052"/>
      <c r="F25" s="3048"/>
      <c r="G25" s="355"/>
      <c r="H25" s="112"/>
      <c r="I25" s="514" t="s">
        <v>134</v>
      </c>
      <c r="J25" s="112"/>
      <c r="K25" s="112"/>
      <c r="L25" s="112"/>
      <c r="M25" s="542"/>
      <c r="N25" s="538"/>
      <c r="O25" s="538"/>
      <c r="P25" s="538"/>
      <c r="Q25" s="538"/>
      <c r="R25" s="538"/>
      <c r="S25" s="538"/>
      <c r="T25" s="538"/>
      <c r="U25" s="539"/>
      <c r="V25" s="538"/>
      <c r="W25" s="538"/>
      <c r="X25" s="529"/>
      <c r="Y25" s="529"/>
      <c r="Z25" s="529"/>
      <c r="AA25" s="529"/>
      <c r="AB25" s="529"/>
      <c r="AC25" s="529"/>
      <c r="AD25" s="529"/>
      <c r="AE25" s="529"/>
      <c r="AF25" s="529"/>
      <c r="AG25" s="529"/>
      <c r="AH25" s="529"/>
      <c r="AI25" s="529"/>
      <c r="AJ25" s="529"/>
      <c r="AK25" s="529"/>
      <c r="AL25" s="529"/>
    </row>
    <row r="26" spans="1:80" s="2021" customFormat="1" ht="15" customHeight="1">
      <c r="U26" s="120"/>
    </row>
    <row r="27" spans="1:80" s="2021" customFormat="1" ht="15" customHeight="1">
      <c r="A27" s="1731" t="s">
        <v>1942</v>
      </c>
      <c r="B27" s="1731"/>
      <c r="C27" s="1731"/>
      <c r="D27" s="1731"/>
      <c r="E27" s="1731"/>
      <c r="F27" s="1731"/>
      <c r="G27" s="1731"/>
      <c r="H27" s="1731"/>
      <c r="I27" s="1731"/>
      <c r="J27" s="1731"/>
      <c r="K27" s="1731"/>
      <c r="L27" s="1731"/>
      <c r="M27" s="1731"/>
      <c r="N27" s="1731"/>
      <c r="O27" s="1731"/>
      <c r="P27" s="1731"/>
      <c r="Q27" s="1731"/>
      <c r="R27" s="1731"/>
      <c r="S27" s="1731"/>
      <c r="T27" s="1731"/>
      <c r="U27" s="119"/>
      <c r="V27" s="1731"/>
      <c r="W27" s="1731"/>
    </row>
    <row r="28" spans="1:80" s="2021" customFormat="1" ht="15" customHeight="1">
      <c r="U28" s="120"/>
    </row>
    <row r="29" spans="1:80" s="2028" customFormat="1" ht="15" customHeight="1">
      <c r="A29" s="357"/>
      <c r="B29" s="357"/>
      <c r="C29" s="111"/>
      <c r="D29" s="1735"/>
      <c r="E29" s="1735"/>
      <c r="F29" s="1735"/>
      <c r="G29" s="3434" t="s">
        <v>105</v>
      </c>
      <c r="H29" s="3037">
        <v>1</v>
      </c>
      <c r="I29" s="3435" t="str">
        <f>IF(U29="","",INDEX(TERRITORY_MR_LIST,MATCH(U29,TERRITORY_LIST_ID,0)))</f>
        <v/>
      </c>
      <c r="J29" s="3048" t="s">
        <v>19</v>
      </c>
      <c r="K29" s="760"/>
      <c r="L29" s="1698" t="s">
        <v>124</v>
      </c>
      <c r="M29" s="537"/>
      <c r="N29" s="538"/>
      <c r="O29" s="538"/>
      <c r="P29" s="538"/>
      <c r="Q29" s="538"/>
      <c r="R29" s="538"/>
      <c r="S29" s="538"/>
      <c r="T29" s="538"/>
      <c r="U29" s="539"/>
      <c r="V29" s="538"/>
      <c r="W29" s="538"/>
      <c r="X29" s="529"/>
      <c r="Y29" s="529" t="s">
        <v>132</v>
      </c>
      <c r="Z29" s="529">
        <v>1705000</v>
      </c>
      <c r="AA29" s="529"/>
      <c r="AB29" s="529"/>
      <c r="AC29" s="529"/>
      <c r="AD29" s="529"/>
      <c r="AE29" s="529"/>
      <c r="AF29" s="529"/>
      <c r="AG29" s="529"/>
      <c r="AH29" s="529"/>
      <c r="AI29" s="529"/>
      <c r="AJ29" s="529"/>
      <c r="AK29" s="529"/>
      <c r="AL29" s="529"/>
    </row>
    <row r="30" spans="1:80" s="2028" customFormat="1" ht="15" customHeight="1">
      <c r="A30" s="357"/>
      <c r="B30" s="357"/>
      <c r="C30" s="111"/>
      <c r="D30" s="1735"/>
      <c r="E30" s="1735"/>
      <c r="F30" s="1735"/>
      <c r="G30" s="3434"/>
      <c r="H30" s="3037"/>
      <c r="I30" s="3435"/>
      <c r="J30" s="3048"/>
      <c r="K30" s="355"/>
      <c r="L30" s="112"/>
      <c r="M30" s="541" t="s">
        <v>133</v>
      </c>
      <c r="N30" s="538"/>
      <c r="O30" s="538"/>
      <c r="P30" s="538"/>
      <c r="Q30" s="538"/>
      <c r="R30" s="538"/>
      <c r="S30" s="538"/>
      <c r="T30" s="538"/>
      <c r="U30" s="539"/>
      <c r="V30" s="538"/>
      <c r="W30" s="538"/>
      <c r="X30" s="529"/>
      <c r="Y30" s="529"/>
      <c r="Z30" s="529"/>
      <c r="AA30" s="529"/>
      <c r="AB30" s="529"/>
      <c r="AC30" s="529"/>
      <c r="AD30" s="529"/>
      <c r="AE30" s="529"/>
      <c r="AF30" s="529"/>
      <c r="AG30" s="529"/>
      <c r="AH30" s="529"/>
      <c r="AI30" s="529"/>
      <c r="AJ30" s="529"/>
      <c r="AK30" s="529"/>
      <c r="AL30" s="529"/>
    </row>
    <row r="31" spans="1:80" s="2021" customFormat="1" ht="15" customHeight="1">
      <c r="U31" s="120"/>
    </row>
    <row r="32" spans="1:80" s="2021" customFormat="1" ht="15" customHeight="1">
      <c r="A32" s="1731" t="s">
        <v>1943</v>
      </c>
      <c r="B32" s="1731"/>
      <c r="C32" s="1731"/>
      <c r="D32" s="1731"/>
      <c r="E32" s="1731"/>
      <c r="F32" s="1731"/>
      <c r="G32" s="1731"/>
      <c r="H32" s="1731"/>
      <c r="I32" s="1731"/>
      <c r="J32" s="1731"/>
      <c r="K32" s="1731"/>
      <c r="L32" s="1731"/>
      <c r="M32" s="1731"/>
      <c r="N32" s="1731"/>
      <c r="O32" s="1731"/>
      <c r="P32" s="1731"/>
      <c r="Q32" s="1731"/>
      <c r="R32" s="1731"/>
      <c r="S32" s="1731"/>
      <c r="T32" s="1731"/>
      <c r="U32" s="119"/>
      <c r="V32" s="1731"/>
      <c r="W32" s="1731"/>
    </row>
    <row r="33" spans="1:38" s="2021" customFormat="1" ht="15" customHeight="1">
      <c r="U33" s="120"/>
    </row>
    <row r="34" spans="1:38" s="2028" customFormat="1" ht="15" customHeight="1">
      <c r="A34" s="357"/>
      <c r="B34" s="357"/>
      <c r="C34" s="111"/>
      <c r="D34" s="1735"/>
      <c r="E34" s="1735"/>
      <c r="F34" s="1735"/>
      <c r="G34" s="1735"/>
      <c r="H34" s="1735"/>
      <c r="I34" s="1735"/>
      <c r="J34" s="1735"/>
      <c r="K34" s="1715" t="s">
        <v>105</v>
      </c>
      <c r="L34" s="1645" t="s">
        <v>124</v>
      </c>
      <c r="M34" s="739"/>
      <c r="N34" s="740"/>
      <c r="O34" s="538"/>
      <c r="P34" s="538"/>
      <c r="Q34" s="538"/>
      <c r="R34" s="538"/>
      <c r="S34" s="538"/>
      <c r="T34" s="538"/>
      <c r="U34" s="539"/>
      <c r="V34" s="538"/>
      <c r="W34" s="538"/>
      <c r="X34" s="529"/>
      <c r="Y34" s="529" t="s">
        <v>132</v>
      </c>
      <c r="Z34" s="529">
        <v>1705000</v>
      </c>
      <c r="AA34" s="529"/>
      <c r="AB34" s="529"/>
      <c r="AC34" s="529"/>
      <c r="AD34" s="529"/>
      <c r="AE34" s="529"/>
      <c r="AF34" s="529"/>
      <c r="AG34" s="529"/>
      <c r="AH34" s="529"/>
      <c r="AI34" s="529"/>
      <c r="AJ34" s="529"/>
      <c r="AK34" s="529"/>
      <c r="AL34" s="529"/>
    </row>
    <row r="35" spans="1:38" s="2021" customFormat="1" ht="15" customHeight="1">
      <c r="U35" s="120"/>
    </row>
    <row r="36" spans="1:38" s="2021" customFormat="1" ht="15" customHeight="1">
      <c r="U36" s="120"/>
    </row>
    <row r="37" spans="1:38" s="3007" customFormat="1" ht="11.25" customHeight="1">
      <c r="A37" s="1731" t="s">
        <v>1944</v>
      </c>
    </row>
    <row r="38" spans="1:38" ht="11.25" customHeight="1"/>
    <row r="39" spans="1:38" s="2205" customFormat="1" ht="22.5" customHeight="1">
      <c r="A39" s="1707"/>
      <c r="B39" s="391"/>
      <c r="C39" s="783"/>
      <c r="D39" s="374"/>
      <c r="E39" s="784"/>
      <c r="F39" s="1728"/>
      <c r="G39" s="1736"/>
      <c r="H39" s="409"/>
    </row>
    <row r="40" spans="1:38" ht="11.25" customHeight="1"/>
    <row r="41" spans="1:38" s="3007" customFormat="1" ht="11.25" customHeight="1">
      <c r="A41" s="1731" t="s">
        <v>1945</v>
      </c>
    </row>
    <row r="42" spans="1:38" ht="11.25" customHeight="1"/>
    <row r="43" spans="1:38" s="2205" customFormat="1" ht="22.5" customHeight="1">
      <c r="A43" s="391"/>
      <c r="B43" s="391"/>
      <c r="C43" s="391"/>
      <c r="D43" s="374"/>
      <c r="E43" s="784"/>
      <c r="F43" s="785"/>
      <c r="G43" s="1736"/>
      <c r="H43" s="409"/>
    </row>
    <row r="44" spans="1:38" ht="11.25" customHeight="1"/>
    <row r="45" spans="1:38" s="3007" customFormat="1" ht="11.25" customHeight="1">
      <c r="A45" s="1731" t="s">
        <v>1946</v>
      </c>
    </row>
    <row r="46" spans="1:38" ht="11.25" customHeight="1"/>
    <row r="47" spans="1:38" s="2205" customFormat="1" ht="24" customHeight="1">
      <c r="A47" s="3152" t="s">
        <v>348</v>
      </c>
      <c r="B47" s="436"/>
      <c r="C47" s="3163"/>
      <c r="D47" s="379" t="str">
        <f>A47</f>
        <v>5.1</v>
      </c>
      <c r="E47" s="376" t="s">
        <v>349</v>
      </c>
      <c r="F47" s="1887" t="s">
        <v>341</v>
      </c>
      <c r="G47" s="378" t="s">
        <v>350</v>
      </c>
      <c r="H47" s="409"/>
      <c r="I47" s="776"/>
    </row>
    <row r="48" spans="1:38" s="2205" customFormat="1" ht="22.5" customHeight="1">
      <c r="A48" s="3152"/>
      <c r="B48" s="436"/>
      <c r="C48" s="3163"/>
      <c r="D48" s="374" t="str">
        <f>D47&amp;".1"</f>
        <v>5.1.1</v>
      </c>
      <c r="E48" s="373" t="s">
        <v>351</v>
      </c>
      <c r="F48" s="1888" t="s">
        <v>28</v>
      </c>
      <c r="G48" s="408"/>
      <c r="H48" s="409"/>
      <c r="I48" s="776"/>
    </row>
    <row r="49" spans="1:45" s="2205" customFormat="1" ht="22.5" customHeight="1">
      <c r="A49" s="3152"/>
      <c r="B49" s="436"/>
      <c r="C49" s="3163"/>
      <c r="D49" s="374" t="str">
        <f>D47&amp;".2"</f>
        <v>5.1.2</v>
      </c>
      <c r="E49" s="373" t="s">
        <v>352</v>
      </c>
      <c r="F49" s="1648" t="s">
        <v>28</v>
      </c>
      <c r="G49" s="378" t="s">
        <v>353</v>
      </c>
      <c r="H49" s="409"/>
      <c r="I49" s="776"/>
    </row>
    <row r="50" spans="1:45" s="2205" customFormat="1" ht="22.5" customHeight="1">
      <c r="A50" s="3152"/>
      <c r="B50" s="436"/>
      <c r="C50" s="3163"/>
      <c r="D50" s="374" t="str">
        <f>D47&amp;".3"</f>
        <v>5.1.3</v>
      </c>
      <c r="E50" s="373" t="s">
        <v>354</v>
      </c>
      <c r="F50" s="1888" t="s">
        <v>28</v>
      </c>
      <c r="G50" s="408"/>
      <c r="H50" s="409"/>
      <c r="I50" s="776"/>
    </row>
    <row r="51" spans="1:45" s="2205" customFormat="1" ht="22.5" customHeight="1">
      <c r="A51" s="3152"/>
      <c r="B51" s="436"/>
      <c r="C51" s="3163"/>
      <c r="D51" s="374" t="str">
        <f>D47&amp;".4"</f>
        <v>5.1.4</v>
      </c>
      <c r="E51" s="373" t="s">
        <v>355</v>
      </c>
      <c r="F51" s="1888" t="s">
        <v>28</v>
      </c>
      <c r="G51" s="378" t="s">
        <v>356</v>
      </c>
      <c r="H51" s="409"/>
      <c r="I51" s="776"/>
    </row>
    <row r="54" spans="1:45" s="3007" customFormat="1" ht="17.25" customHeight="1">
      <c r="A54" s="1731" t="s">
        <v>1947</v>
      </c>
    </row>
    <row r="56" spans="1:45" s="2003" customFormat="1" ht="18.75" customHeight="1">
      <c r="A56" s="27"/>
      <c r="B56" s="1737"/>
      <c r="C56" s="1737"/>
      <c r="D56" s="1738"/>
      <c r="E56" s="1725"/>
      <c r="F56" s="792">
        <v>13</v>
      </c>
      <c r="G56" s="791"/>
      <c r="H56" s="721"/>
      <c r="I56" s="719"/>
      <c r="J56" s="454" t="s">
        <v>67</v>
      </c>
      <c r="K56" s="1739" t="s">
        <v>28</v>
      </c>
      <c r="L56" s="27"/>
      <c r="M56" s="1553"/>
      <c r="N56" s="1553"/>
      <c r="O56" s="1553"/>
      <c r="P56" s="450" t="s">
        <v>427</v>
      </c>
      <c r="Q56" s="450" t="s">
        <v>428</v>
      </c>
      <c r="R56" s="451" t="s">
        <v>429</v>
      </c>
      <c r="S56" s="1553" t="s">
        <v>430</v>
      </c>
      <c r="T56" s="1553"/>
      <c r="U56" s="1553"/>
      <c r="V56" s="1553"/>
    </row>
    <row r="58" spans="1:45" s="3007" customFormat="1" ht="11.25" customHeight="1">
      <c r="A58" s="1731" t="s">
        <v>1948</v>
      </c>
    </row>
    <row r="60" spans="1:45" s="2004" customFormat="1" ht="14.25" customHeight="1">
      <c r="C60" s="1605"/>
      <c r="D60" s="1783"/>
      <c r="E60" s="1693" t="s">
        <v>28</v>
      </c>
      <c r="F60" s="1782"/>
      <c r="G60" s="780"/>
      <c r="H60" s="1694"/>
      <c r="I60" s="1694"/>
      <c r="J60" s="367"/>
      <c r="K60" s="1777"/>
      <c r="L60" s="366"/>
      <c r="M60" s="1777"/>
      <c r="N60" s="367"/>
      <c r="O60" s="1777"/>
      <c r="P60" s="367"/>
      <c r="Q60" s="1777"/>
      <c r="R60" s="367"/>
      <c r="S60" s="778"/>
      <c r="T60" s="1694"/>
      <c r="U60" s="367"/>
      <c r="V60" s="367"/>
      <c r="W60" s="1781"/>
      <c r="X60" s="1694"/>
      <c r="Y60" s="367"/>
      <c r="Z60" s="367"/>
      <c r="AA60" s="1781"/>
      <c r="AB60" s="1694"/>
      <c r="AC60" s="367"/>
      <c r="AD60" s="1781"/>
      <c r="AE60" s="27"/>
      <c r="AF60" s="27"/>
      <c r="AG60" s="27"/>
      <c r="AH60" s="27"/>
      <c r="AJ60" s="1553"/>
      <c r="AK60" s="1553"/>
      <c r="AL60" s="1553"/>
      <c r="AM60" s="1553"/>
      <c r="AN60" s="1553"/>
      <c r="AO60" s="1553"/>
      <c r="AP60" s="1541" t="s">
        <v>416</v>
      </c>
      <c r="AQ60" s="1541" t="s">
        <v>416</v>
      </c>
      <c r="AR60" s="1553"/>
      <c r="AS60" s="1553"/>
    </row>
    <row r="62" spans="1:45" s="3007" customFormat="1" ht="11.25" customHeight="1">
      <c r="A62" s="1731" t="s">
        <v>1949</v>
      </c>
    </row>
    <row r="64" spans="1:45" s="2994" customFormat="1" ht="15" customHeight="1">
      <c r="A64" s="81" t="s">
        <v>91</v>
      </c>
      <c r="B64" s="63" t="s">
        <v>28</v>
      </c>
      <c r="C64" s="1740"/>
      <c r="D64" s="66"/>
      <c r="E64" s="315"/>
      <c r="F64" s="315"/>
      <c r="G64" s="1719"/>
      <c r="H64" s="1739"/>
      <c r="I64" s="1720"/>
      <c r="K64" s="207"/>
      <c r="L64" s="208"/>
    </row>
    <row r="66" spans="1:30" s="3007" customFormat="1" ht="11.25" customHeight="1">
      <c r="A66" s="1731" t="s">
        <v>1950</v>
      </c>
    </row>
    <row r="68" spans="1:30" s="2004" customFormat="1" ht="14.25" customHeight="1">
      <c r="A68" s="278"/>
      <c r="B68" s="1077"/>
      <c r="C68" s="310"/>
      <c r="D68" s="1726"/>
      <c r="E68" s="809"/>
      <c r="F68" s="1739"/>
      <c r="G68" s="27"/>
      <c r="I68" s="1541"/>
      <c r="J68" s="1541"/>
    </row>
    <row r="70" spans="1:30" s="3007" customFormat="1" ht="11.25" customHeight="1">
      <c r="A70" s="1731" t="s">
        <v>1951</v>
      </c>
    </row>
    <row r="72" spans="1:30" s="2004" customFormat="1" ht="27" customHeight="1">
      <c r="A72" s="1083"/>
      <c r="B72" s="1083"/>
      <c r="C72" s="1083"/>
      <c r="D72" s="1077"/>
      <c r="E72" s="1741"/>
      <c r="F72" s="3446"/>
      <c r="G72" s="3447"/>
      <c r="H72" s="3448" t="s">
        <v>67</v>
      </c>
      <c r="I72" s="3450"/>
      <c r="J72" s="3425"/>
      <c r="K72" s="3452"/>
      <c r="L72" s="3427"/>
      <c r="M72" s="3427"/>
      <c r="N72" s="3428"/>
      <c r="O72" s="3428"/>
      <c r="P72" s="3429" t="e">
        <f>DATEDIF(DATEVALUE(N72),DATEVALUE(O72),"y")&amp;"г. "&amp;DATEDIF(DATEVALUE(N72),DATEVALUE(O72),"ym")&amp;"мес. "&amp;DATEVALUE(O72)-DATE(YEAR(DATEVALUE(O72)),MONTH(DATEVALUE(O72)),1)&amp;"дн. "</f>
        <v>#VALUE!</v>
      </c>
      <c r="Q72" s="3424"/>
      <c r="R72" s="3424"/>
      <c r="S72" s="3424"/>
      <c r="T72" s="3425"/>
      <c r="U72" s="3424"/>
      <c r="V72" s="3424"/>
      <c r="W72" s="3424"/>
      <c r="X72" s="3425"/>
      <c r="Y72" s="3422" t="s">
        <v>67</v>
      </c>
      <c r="Z72" s="1724"/>
      <c r="AA72" s="1708">
        <v>1</v>
      </c>
      <c r="AB72" s="1159"/>
      <c r="AD72" s="1553" t="s">
        <v>1952</v>
      </c>
    </row>
    <row r="73" spans="1:30" s="2004" customFormat="1" ht="10.5" customHeight="1">
      <c r="A73" s="1083"/>
      <c r="B73" s="1083"/>
      <c r="C73" s="1083"/>
      <c r="D73" s="1077"/>
      <c r="E73" s="870"/>
      <c r="F73" s="3446"/>
      <c r="G73" s="3447"/>
      <c r="H73" s="3449"/>
      <c r="I73" s="3451"/>
      <c r="J73" s="3426"/>
      <c r="K73" s="3452"/>
      <c r="L73" s="3427"/>
      <c r="M73" s="3427"/>
      <c r="N73" s="3428"/>
      <c r="O73" s="3428"/>
      <c r="P73" s="3429"/>
      <c r="Q73" s="3424"/>
      <c r="R73" s="3424"/>
      <c r="S73" s="3424"/>
      <c r="T73" s="3426"/>
      <c r="U73" s="3424"/>
      <c r="V73" s="3424"/>
      <c r="W73" s="3424"/>
      <c r="X73" s="3426"/>
      <c r="Y73" s="3423"/>
      <c r="Z73" s="282"/>
      <c r="AA73" s="506"/>
      <c r="AB73" s="586" t="s">
        <v>1953</v>
      </c>
    </row>
    <row r="75" spans="1:30" s="3007" customFormat="1" ht="11.25" customHeight="1">
      <c r="A75" s="1731" t="s">
        <v>1954</v>
      </c>
    </row>
    <row r="77" spans="1:30" s="2004" customFormat="1" ht="27" customHeight="1">
      <c r="A77" s="1083"/>
      <c r="B77" s="1083"/>
      <c r="C77" s="1083"/>
      <c r="D77" s="1077"/>
      <c r="E77" s="1741"/>
      <c r="F77" s="1713"/>
      <c r="G77" s="1663"/>
      <c r="H77" s="1664"/>
      <c r="I77" s="1665"/>
      <c r="J77" s="1666"/>
      <c r="K77" s="1667"/>
      <c r="L77" s="1668"/>
      <c r="M77" s="1668"/>
      <c r="N77" s="1669"/>
      <c r="O77" s="1669"/>
      <c r="P77" s="1670"/>
      <c r="Q77" s="1671"/>
      <c r="R77" s="1671"/>
      <c r="S77" s="1671"/>
      <c r="T77" s="1666"/>
      <c r="U77" s="1671"/>
      <c r="V77" s="1671"/>
      <c r="W77" s="1671"/>
      <c r="X77" s="1666"/>
      <c r="Y77" s="1664"/>
      <c r="Z77" s="1724"/>
      <c r="AA77" s="1708">
        <v>1</v>
      </c>
      <c r="AB77" s="1159"/>
      <c r="AD77" s="1553" t="s">
        <v>1952</v>
      </c>
    </row>
    <row r="79" spans="1:30" s="3007" customFormat="1" ht="11.25" customHeight="1">
      <c r="A79" s="1731" t="s">
        <v>1955</v>
      </c>
    </row>
    <row r="80" spans="1:30" ht="17.25" customHeight="1"/>
    <row r="81" spans="1:58" s="2004" customFormat="1" ht="21" customHeight="1">
      <c r="A81" s="1084"/>
      <c r="B81" s="1083"/>
      <c r="C81" s="1083"/>
      <c r="D81" s="1077"/>
      <c r="E81" s="1087"/>
      <c r="F81" s="1039" t="e">
        <f>INDEX(IP_MAIN_LIST_NAME_IP,MATCH(A81,IP_MAIN_LIST_IP_ID,0))&amp;" ("&amp;INDEX(IP_MAIN_START_DATE,MATCH(A81,IP_MAIN_LIST_IP_ID,0))&amp;"-"&amp;INDEX(IP_MAIN_END_DATE,MATCH(A81,IP_MAIN_LIST_IP_ID,0))&amp;")"</f>
        <v>#N/A</v>
      </c>
      <c r="G81" s="1040"/>
      <c r="H81" s="1040"/>
      <c r="I81" s="1102"/>
      <c r="J81" s="1102"/>
      <c r="K81" s="1103"/>
      <c r="L81" s="1103"/>
      <c r="M81" s="1103"/>
      <c r="N81" s="1104"/>
      <c r="O81" s="1104"/>
      <c r="P81" s="1104"/>
      <c r="Q81" s="1104"/>
      <c r="R81" s="1104"/>
      <c r="S81" s="1104"/>
      <c r="T81" s="1104"/>
      <c r="U81" s="1104"/>
      <c r="V81" s="1104"/>
      <c r="W81" s="1104"/>
      <c r="X81" s="1104"/>
      <c r="Y81" s="1104"/>
      <c r="Z81" s="1104"/>
      <c r="AA81" s="1104"/>
      <c r="AB81" s="1104"/>
      <c r="AC81" s="1104"/>
      <c r="AD81" s="1104"/>
      <c r="AE81" s="1105"/>
      <c r="AF81" s="1103"/>
      <c r="AG81" s="1103"/>
      <c r="AH81" s="1103"/>
      <c r="AI81" s="1103"/>
      <c r="AJ81" s="1103"/>
      <c r="AK81" s="1103"/>
      <c r="AL81" s="1899"/>
      <c r="AM81" s="1737"/>
      <c r="AN81" s="1737"/>
      <c r="AO81" s="1737"/>
      <c r="AP81" s="1737"/>
      <c r="AQ81" s="1737"/>
      <c r="AR81" s="1737"/>
      <c r="AS81" s="1737"/>
      <c r="AT81" s="1737"/>
      <c r="AU81" s="1737"/>
      <c r="AV81" s="1737"/>
      <c r="AW81" s="1737"/>
      <c r="AX81" s="1737"/>
      <c r="AY81" s="1737"/>
      <c r="AZ81" s="1737"/>
      <c r="BA81" s="1737"/>
      <c r="BB81" s="1737"/>
      <c r="BC81" s="1737"/>
      <c r="BD81" s="1737"/>
      <c r="BE81" s="1737"/>
      <c r="BF81" s="1737"/>
    </row>
    <row r="82" spans="1:58" s="2004" customFormat="1" ht="0.75" customHeight="1">
      <c r="A82" s="1083"/>
      <c r="B82" s="1083"/>
      <c r="C82" s="1083"/>
      <c r="D82" s="1077"/>
      <c r="E82" s="1087"/>
      <c r="F82" s="3414"/>
      <c r="G82" s="3331"/>
      <c r="H82" s="3418" t="s">
        <v>411</v>
      </c>
      <c r="I82" s="3419"/>
      <c r="J82" s="3417"/>
      <c r="K82" s="3417"/>
      <c r="L82" s="3412"/>
      <c r="M82" s="3205"/>
      <c r="N82" s="1947"/>
      <c r="O82" s="1946"/>
      <c r="P82" s="1947"/>
      <c r="Q82" s="1947"/>
      <c r="R82" s="1947"/>
      <c r="S82" s="1947"/>
      <c r="T82" s="1947"/>
      <c r="U82" s="1947"/>
      <c r="V82" s="1947"/>
      <c r="W82" s="1947"/>
      <c r="X82" s="1947"/>
      <c r="Y82" s="1947"/>
      <c r="Z82" s="1947"/>
      <c r="AA82" s="1947"/>
      <c r="AB82" s="1947"/>
      <c r="AC82" s="1947"/>
      <c r="AD82" s="1947"/>
      <c r="AE82" s="1947"/>
      <c r="AF82" s="3416"/>
      <c r="AG82" s="3412"/>
      <c r="AH82" s="3412"/>
      <c r="AI82" s="3416"/>
      <c r="AJ82" s="3412"/>
      <c r="AK82" s="3412"/>
      <c r="AL82" s="1899"/>
      <c r="AM82" s="1737"/>
      <c r="AN82" s="1737"/>
      <c r="AO82" s="1737"/>
      <c r="AP82" s="1737"/>
      <c r="AQ82" s="1737"/>
      <c r="AR82" s="1737"/>
      <c r="AS82" s="1737"/>
      <c r="AT82" s="1737"/>
      <c r="AU82" s="1737"/>
      <c r="AV82" s="1737"/>
      <c r="AW82" s="1737"/>
      <c r="AX82" s="1737"/>
      <c r="AY82" s="1737"/>
      <c r="AZ82" s="1737"/>
      <c r="BA82" s="1737"/>
      <c r="BB82" s="1737"/>
      <c r="BC82" s="1737"/>
      <c r="BD82" s="1737"/>
      <c r="BE82" s="1737"/>
      <c r="BF82" s="1737"/>
    </row>
    <row r="83" spans="1:58" s="2004" customFormat="1" ht="0.75" customHeight="1">
      <c r="A83" s="1083"/>
      <c r="B83" s="1083"/>
      <c r="C83" s="1083"/>
      <c r="D83" s="1077"/>
      <c r="E83" s="1087"/>
      <c r="F83" s="3414"/>
      <c r="G83" s="3331"/>
      <c r="H83" s="3418"/>
      <c r="I83" s="3419"/>
      <c r="J83" s="3417"/>
      <c r="K83" s="3417"/>
      <c r="L83" s="3412"/>
      <c r="M83" s="3205"/>
      <c r="N83" s="3420"/>
      <c r="O83" s="3421"/>
      <c r="P83" s="3453"/>
      <c r="Q83" s="3417"/>
      <c r="R83" s="3417"/>
      <c r="S83" s="3417"/>
      <c r="T83" s="3417"/>
      <c r="U83" s="3417"/>
      <c r="V83" s="3417"/>
      <c r="W83" s="3417"/>
      <c r="X83" s="3417"/>
      <c r="Y83" s="3417"/>
      <c r="Z83" s="1948"/>
      <c r="AA83" s="1949"/>
      <c r="AB83" s="1949"/>
      <c r="AC83" s="1950"/>
      <c r="AD83" s="1950"/>
      <c r="AE83" s="1951"/>
      <c r="AF83" s="3416"/>
      <c r="AG83" s="3412"/>
      <c r="AH83" s="3412"/>
      <c r="AI83" s="3416"/>
      <c r="AJ83" s="3412"/>
      <c r="AK83" s="3412"/>
      <c r="AL83" s="1899"/>
      <c r="AM83" s="1737"/>
      <c r="AN83" s="1737"/>
      <c r="AO83" s="1737"/>
      <c r="AP83" s="1737"/>
      <c r="AQ83" s="1737"/>
      <c r="AR83" s="1737"/>
      <c r="AS83" s="1737"/>
      <c r="AT83" s="1737"/>
      <c r="AU83" s="1737"/>
      <c r="AV83" s="1737"/>
      <c r="AW83" s="1737"/>
      <c r="AX83" s="1737"/>
      <c r="AY83" s="1737"/>
      <c r="AZ83" s="1737"/>
      <c r="BA83" s="1737"/>
      <c r="BB83" s="1737"/>
      <c r="BC83" s="1737"/>
      <c r="BD83" s="1737"/>
      <c r="BE83" s="1737"/>
      <c r="BF83" s="1737"/>
    </row>
    <row r="84" spans="1:58" s="2004" customFormat="1" ht="0.75" customHeight="1">
      <c r="A84" s="1083"/>
      <c r="B84" s="1083"/>
      <c r="C84" s="1083"/>
      <c r="D84" s="1077"/>
      <c r="E84" s="1087"/>
      <c r="F84" s="3414"/>
      <c r="G84" s="3331"/>
      <c r="H84" s="3418"/>
      <c r="I84" s="3419"/>
      <c r="J84" s="3417"/>
      <c r="K84" s="3417"/>
      <c r="L84" s="3412"/>
      <c r="M84" s="3205"/>
      <c r="N84" s="3420"/>
      <c r="O84" s="3421"/>
      <c r="P84" s="3454"/>
      <c r="Q84" s="3417"/>
      <c r="R84" s="3417"/>
      <c r="S84" s="3417"/>
      <c r="T84" s="3417"/>
      <c r="U84" s="3417"/>
      <c r="V84" s="3417"/>
      <c r="W84" s="3417"/>
      <c r="X84" s="3417"/>
      <c r="Y84" s="3417"/>
      <c r="Z84" s="1952"/>
      <c r="AA84" s="1953"/>
      <c r="AB84" s="1954"/>
      <c r="AC84" s="1955"/>
      <c r="AD84" s="1954"/>
      <c r="AE84" s="1955"/>
      <c r="AF84" s="3416"/>
      <c r="AG84" s="3412"/>
      <c r="AH84" s="3412"/>
      <c r="AI84" s="3416"/>
      <c r="AJ84" s="3412"/>
      <c r="AK84" s="3412"/>
      <c r="AL84" s="1899"/>
      <c r="AM84" s="1737"/>
      <c r="AN84" s="1737"/>
      <c r="AO84" s="1737"/>
      <c r="AP84" s="1737"/>
      <c r="AQ84" s="1737"/>
      <c r="AR84" s="1737"/>
      <c r="AS84" s="1737"/>
      <c r="AT84" s="1737"/>
      <c r="AU84" s="1737"/>
      <c r="AV84" s="1737"/>
      <c r="AW84" s="1737"/>
      <c r="AX84" s="1737"/>
      <c r="AY84" s="1737"/>
      <c r="AZ84" s="1737"/>
      <c r="BA84" s="1737"/>
      <c r="BB84" s="1737"/>
      <c r="BC84" s="1737"/>
      <c r="BD84" s="1737"/>
      <c r="BE84" s="1737"/>
      <c r="BF84" s="1737"/>
    </row>
    <row r="85" spans="1:58" s="2004" customFormat="1" ht="0.75" customHeight="1">
      <c r="A85" s="1083"/>
      <c r="B85" s="1083"/>
      <c r="C85" s="1083"/>
      <c r="D85" s="1077"/>
      <c r="E85" s="1087"/>
      <c r="F85" s="3414"/>
      <c r="G85" s="3331"/>
      <c r="H85" s="3418"/>
      <c r="I85" s="3419"/>
      <c r="J85" s="3417"/>
      <c r="K85" s="3417"/>
      <c r="L85" s="3412"/>
      <c r="M85" s="3205"/>
      <c r="N85" s="3420"/>
      <c r="O85" s="3421"/>
      <c r="P85" s="3455"/>
      <c r="Q85" s="3417"/>
      <c r="R85" s="3417"/>
      <c r="S85" s="3417"/>
      <c r="T85" s="3417"/>
      <c r="U85" s="3417"/>
      <c r="V85" s="3417"/>
      <c r="W85" s="3417"/>
      <c r="X85" s="3417"/>
      <c r="Y85" s="3417"/>
      <c r="Z85" s="1948"/>
      <c r="AA85" s="1949"/>
      <c r="AB85" s="1956"/>
      <c r="AC85" s="1950"/>
      <c r="AD85" s="1950"/>
      <c r="AE85" s="1957"/>
      <c r="AF85" s="3416"/>
      <c r="AG85" s="3412"/>
      <c r="AH85" s="3412"/>
      <c r="AI85" s="3416"/>
      <c r="AJ85" s="3412"/>
      <c r="AK85" s="3412"/>
      <c r="AL85" s="1899"/>
      <c r="AM85" s="1737"/>
      <c r="AN85" s="1737"/>
      <c r="AO85" s="1737"/>
      <c r="AP85" s="1737"/>
      <c r="AQ85" s="1737"/>
      <c r="AR85" s="1737"/>
      <c r="AS85" s="1737"/>
      <c r="AT85" s="1737"/>
      <c r="AU85" s="1737"/>
      <c r="AV85" s="1737"/>
      <c r="AW85" s="1737"/>
      <c r="AX85" s="1737"/>
      <c r="AY85" s="1737"/>
      <c r="AZ85" s="1737"/>
      <c r="BA85" s="1737"/>
      <c r="BB85" s="1737"/>
      <c r="BC85" s="1737"/>
      <c r="BD85" s="1737"/>
      <c r="BE85" s="1737"/>
      <c r="BF85" s="1737"/>
    </row>
    <row r="86" spans="1:58" s="2004" customFormat="1" ht="0.75" customHeight="1">
      <c r="A86" s="1083"/>
      <c r="B86" s="1083"/>
      <c r="C86" s="1083"/>
      <c r="D86" s="1077"/>
      <c r="E86" s="1087"/>
      <c r="F86" s="3414"/>
      <c r="G86" s="3331"/>
      <c r="H86" s="3418"/>
      <c r="I86" s="3419"/>
      <c r="J86" s="3417"/>
      <c r="K86" s="3417"/>
      <c r="L86" s="3412"/>
      <c r="M86" s="3205"/>
      <c r="N86" s="1949"/>
      <c r="O86" s="1949"/>
      <c r="P86" s="1956"/>
      <c r="Q86" s="1949"/>
      <c r="R86" s="1949"/>
      <c r="S86" s="1949"/>
      <c r="T86" s="1949"/>
      <c r="U86" s="1949"/>
      <c r="V86" s="1949"/>
      <c r="W86" s="1949"/>
      <c r="X86" s="1949"/>
      <c r="Y86" s="1949"/>
      <c r="Z86" s="1949"/>
      <c r="AA86" s="1949"/>
      <c r="AB86" s="1949"/>
      <c r="AC86" s="1949"/>
      <c r="AD86" s="1949"/>
      <c r="AE86" s="1958"/>
      <c r="AF86" s="3416"/>
      <c r="AG86" s="3412"/>
      <c r="AH86" s="3412"/>
      <c r="AI86" s="3416"/>
      <c r="AJ86" s="3412"/>
      <c r="AK86" s="3412"/>
      <c r="AL86" s="1899"/>
      <c r="AM86" s="1737"/>
      <c r="AN86" s="1737"/>
      <c r="AO86" s="1737"/>
      <c r="AP86" s="1737"/>
      <c r="AQ86" s="1737"/>
      <c r="AR86" s="1737"/>
      <c r="AS86" s="1737"/>
      <c r="AT86" s="1737"/>
      <c r="AU86" s="1737"/>
      <c r="AV86" s="1737"/>
      <c r="AW86" s="1737"/>
      <c r="AX86" s="1737"/>
      <c r="AY86" s="1737"/>
      <c r="AZ86" s="1737"/>
      <c r="BA86" s="1737"/>
      <c r="BB86" s="1737"/>
      <c r="BC86" s="1737"/>
      <c r="BD86" s="1737"/>
      <c r="BE86" s="1737"/>
      <c r="BF86" s="1737"/>
    </row>
    <row r="87" spans="1:58" s="2004" customFormat="1" ht="12" customHeight="1">
      <c r="A87" s="1083"/>
      <c r="B87" s="1083"/>
      <c r="C87" s="1083"/>
      <c r="D87" s="1077"/>
      <c r="E87" s="1087"/>
      <c r="F87" s="3415"/>
      <c r="G87" s="1107"/>
      <c r="H87" s="1107"/>
      <c r="I87" s="3413" t="s">
        <v>1956</v>
      </c>
      <c r="J87" s="3413"/>
      <c r="K87" s="3413"/>
      <c r="L87" s="1090"/>
      <c r="M87" s="1090"/>
      <c r="N87" s="1091"/>
      <c r="O87" s="1091"/>
      <c r="P87" s="1091"/>
      <c r="Q87" s="1091"/>
      <c r="R87" s="1091"/>
      <c r="S87" s="1091"/>
      <c r="T87" s="1091"/>
      <c r="U87" s="1091"/>
      <c r="V87" s="1091"/>
      <c r="W87" s="1091"/>
      <c r="X87" s="1091"/>
      <c r="Y87" s="1091"/>
      <c r="Z87" s="1091"/>
      <c r="AA87" s="1091"/>
      <c r="AB87" s="1091"/>
      <c r="AC87" s="1091"/>
      <c r="AD87" s="1091"/>
      <c r="AE87" s="1091"/>
      <c r="AF87" s="1091"/>
      <c r="AG87" s="1090"/>
      <c r="AH87" s="1090"/>
      <c r="AI87" s="1091"/>
      <c r="AJ87" s="1090"/>
      <c r="AK87" s="1091"/>
      <c r="AL87" s="1899"/>
      <c r="AM87" s="1737"/>
      <c r="AN87" s="1737"/>
      <c r="AO87" s="1737"/>
      <c r="AP87" s="1737"/>
      <c r="AQ87" s="1737"/>
      <c r="AR87" s="1737"/>
      <c r="AS87" s="1737"/>
      <c r="AT87" s="1737"/>
      <c r="AU87" s="1737"/>
      <c r="AV87" s="1737"/>
      <c r="AW87" s="1737"/>
      <c r="AX87" s="1737"/>
      <c r="AY87" s="1737"/>
      <c r="AZ87" s="1737"/>
      <c r="BA87" s="1737"/>
      <c r="BB87" s="1737"/>
      <c r="BC87" s="1737"/>
      <c r="BD87" s="1737"/>
      <c r="BE87" s="1737"/>
      <c r="BF87" s="1737"/>
    </row>
    <row r="89" spans="1:58" s="3007" customFormat="1" ht="11.25" customHeight="1">
      <c r="A89" s="1731" t="s">
        <v>1957</v>
      </c>
    </row>
    <row r="91" spans="1:58" s="2004" customFormat="1" ht="11.25" customHeight="1">
      <c r="A91" s="1083"/>
      <c r="B91" s="1083"/>
      <c r="C91" s="1083"/>
      <c r="D91" s="1077"/>
      <c r="E91" s="1087"/>
      <c r="F91" s="1743"/>
      <c r="G91" s="1744"/>
      <c r="H91" s="1744"/>
      <c r="I91" s="1680"/>
      <c r="J91" s="1680"/>
      <c r="K91" s="1745"/>
      <c r="L91" s="1680"/>
      <c r="M91" s="1744"/>
      <c r="N91" s="3393"/>
      <c r="O91" s="3456">
        <v>1</v>
      </c>
      <c r="P91" s="3395" t="s">
        <v>19</v>
      </c>
      <c r="Q91" s="3313" t="s">
        <v>28</v>
      </c>
      <c r="R91" s="3313" t="s">
        <v>28</v>
      </c>
      <c r="S91" s="3313" t="s">
        <v>28</v>
      </c>
      <c r="T91" s="3313" t="s">
        <v>28</v>
      </c>
      <c r="U91" s="3313" t="s">
        <v>28</v>
      </c>
      <c r="V91" s="3313" t="s">
        <v>28</v>
      </c>
      <c r="W91" s="3313" t="s">
        <v>28</v>
      </c>
      <c r="X91" s="3313" t="s">
        <v>28</v>
      </c>
      <c r="Y91" s="3313"/>
      <c r="Z91" s="1092"/>
      <c r="AA91" s="1093"/>
      <c r="AB91" s="1093"/>
      <c r="AC91" s="1097"/>
      <c r="AD91" s="1097"/>
      <c r="AE91" s="1097"/>
      <c r="AF91" s="1746"/>
      <c r="AG91" s="1675"/>
      <c r="AH91" s="1675"/>
      <c r="AI91" s="1746"/>
      <c r="AJ91" s="1675"/>
      <c r="AK91" s="1898"/>
      <c r="AL91" s="1899"/>
      <c r="AM91" s="1737"/>
      <c r="AN91" s="1737"/>
      <c r="AO91" s="1737"/>
      <c r="AP91" s="1737"/>
      <c r="AQ91" s="1737"/>
      <c r="AR91" s="1737"/>
      <c r="AS91" s="1737"/>
      <c r="AT91" s="1737"/>
      <c r="AU91" s="1737"/>
      <c r="AV91" s="1737"/>
      <c r="AW91" s="1737"/>
      <c r="AX91" s="1737"/>
      <c r="AY91" s="1737"/>
      <c r="AZ91" s="1737"/>
      <c r="BA91" s="1737"/>
      <c r="BB91" s="1737"/>
      <c r="BC91" s="1737"/>
      <c r="BD91" s="1737"/>
      <c r="BE91" s="1737"/>
      <c r="BF91" s="1737"/>
    </row>
    <row r="92" spans="1:58" s="2004" customFormat="1" ht="11.25" customHeight="1">
      <c r="A92" s="1083"/>
      <c r="B92" s="1083"/>
      <c r="C92" s="1083"/>
      <c r="D92" s="1077"/>
      <c r="E92" s="1087"/>
      <c r="F92" s="1743"/>
      <c r="G92" s="1744"/>
      <c r="H92" s="1744"/>
      <c r="I92" s="1681"/>
      <c r="J92" s="1681"/>
      <c r="K92" s="1745"/>
      <c r="L92" s="1681"/>
      <c r="M92" s="1744"/>
      <c r="N92" s="3393"/>
      <c r="O92" s="3456"/>
      <c r="P92" s="3396"/>
      <c r="Q92" s="3313"/>
      <c r="R92" s="3313"/>
      <c r="S92" s="3398"/>
      <c r="T92" s="3313"/>
      <c r="U92" s="3313"/>
      <c r="V92" s="3313"/>
      <c r="W92" s="3313"/>
      <c r="X92" s="3313"/>
      <c r="Y92" s="3313"/>
      <c r="Z92" s="1742"/>
      <c r="AA92" s="1710">
        <v>1</v>
      </c>
      <c r="AB92" s="1096"/>
      <c r="AC92" s="1086"/>
      <c r="AD92" s="1096">
        <f>AB92</f>
        <v>0</v>
      </c>
      <c r="AE92" s="658"/>
      <c r="AF92" s="1745"/>
      <c r="AG92" s="1675"/>
      <c r="AH92" s="1675"/>
      <c r="AI92" s="1745"/>
      <c r="AJ92" s="1675"/>
      <c r="AK92" s="1898"/>
      <c r="AL92" s="1899"/>
      <c r="AM92" s="1737"/>
      <c r="AN92" s="1737"/>
      <c r="AO92" s="1737"/>
      <c r="AP92" s="1737"/>
      <c r="AQ92" s="1737"/>
      <c r="AR92" s="1737"/>
      <c r="AS92" s="1737"/>
      <c r="AT92" s="1737"/>
      <c r="AU92" s="1737"/>
      <c r="AV92" s="1737"/>
      <c r="AW92" s="1737"/>
      <c r="AX92" s="1737"/>
      <c r="AY92" s="1737"/>
      <c r="AZ92" s="1737"/>
      <c r="BA92" s="1737"/>
      <c r="BB92" s="1737"/>
      <c r="BC92" s="1737"/>
      <c r="BD92" s="1737"/>
      <c r="BE92" s="1737"/>
      <c r="BF92" s="1737"/>
    </row>
    <row r="93" spans="1:58" s="2004" customFormat="1" ht="11.25" customHeight="1">
      <c r="A93" s="1083"/>
      <c r="B93" s="1083"/>
      <c r="C93" s="1083"/>
      <c r="D93" s="1077"/>
      <c r="E93" s="1087"/>
      <c r="F93" s="1743"/>
      <c r="G93" s="1744"/>
      <c r="H93" s="1744"/>
      <c r="I93" s="1682"/>
      <c r="J93" s="1682"/>
      <c r="K93" s="1745"/>
      <c r="L93" s="1682"/>
      <c r="M93" s="1744"/>
      <c r="N93" s="3393"/>
      <c r="O93" s="3456"/>
      <c r="P93" s="3397"/>
      <c r="Q93" s="3313"/>
      <c r="R93" s="3313"/>
      <c r="S93" s="3398"/>
      <c r="T93" s="3313"/>
      <c r="U93" s="3313"/>
      <c r="V93" s="3313"/>
      <c r="W93" s="3313"/>
      <c r="X93" s="3313"/>
      <c r="Y93" s="3313"/>
      <c r="Z93" s="1092"/>
      <c r="AA93" s="1093"/>
      <c r="AB93" s="1158" t="s">
        <v>1958</v>
      </c>
      <c r="AC93" s="1097"/>
      <c r="AD93" s="1097"/>
      <c r="AE93" s="1097"/>
      <c r="AF93" s="1747"/>
      <c r="AG93" s="1675"/>
      <c r="AH93" s="1675"/>
      <c r="AI93" s="1747"/>
      <c r="AJ93" s="1675"/>
      <c r="AK93" s="1898"/>
      <c r="AL93" s="1899"/>
      <c r="AM93" s="1737"/>
      <c r="AN93" s="1737"/>
      <c r="AO93" s="1737"/>
      <c r="AP93" s="1737"/>
      <c r="AQ93" s="1737"/>
      <c r="AR93" s="1737"/>
      <c r="AS93" s="1737"/>
      <c r="AT93" s="1737"/>
      <c r="AU93" s="1737"/>
      <c r="AV93" s="1737"/>
      <c r="AW93" s="1737"/>
      <c r="AX93" s="1737"/>
      <c r="AY93" s="1737"/>
      <c r="AZ93" s="1737"/>
      <c r="BA93" s="1737"/>
      <c r="BB93" s="1737"/>
      <c r="BC93" s="1737"/>
      <c r="BD93" s="1737"/>
      <c r="BE93" s="1737"/>
      <c r="BF93" s="1737"/>
    </row>
    <row r="95" spans="1:58" s="3007" customFormat="1" ht="11.25" customHeight="1">
      <c r="A95" s="1731" t="s">
        <v>1959</v>
      </c>
    </row>
    <row r="97" spans="1:184" s="2004" customFormat="1" ht="11.25" customHeight="1">
      <c r="A97" s="1083"/>
      <c r="B97" s="1083"/>
      <c r="C97" s="1083"/>
      <c r="D97" s="1077"/>
      <c r="E97" s="1087"/>
      <c r="F97" s="1744"/>
      <c r="G97" s="1744"/>
      <c r="H97" s="1744"/>
      <c r="I97" s="1744"/>
      <c r="J97" s="1744"/>
      <c r="K97" s="1744"/>
      <c r="L97" s="1744"/>
      <c r="M97" s="1744"/>
      <c r="N97" s="1744"/>
      <c r="O97" s="1744"/>
      <c r="P97" s="1744"/>
      <c r="Q97" s="1744"/>
      <c r="R97" s="1744"/>
      <c r="S97" s="1744"/>
      <c r="T97" s="1744"/>
      <c r="U97" s="1744"/>
      <c r="V97" s="1744"/>
      <c r="W97" s="1744"/>
      <c r="X97" s="1744"/>
      <c r="Y97" s="1744"/>
      <c r="Z97" s="1748"/>
      <c r="AA97" s="1730">
        <v>1</v>
      </c>
      <c r="AB97" s="1096"/>
      <c r="AC97" s="1086"/>
      <c r="AD97" s="1096">
        <f>AB97</f>
        <v>0</v>
      </c>
      <c r="AE97" s="1086"/>
      <c r="AF97" s="1745"/>
      <c r="AG97" s="1675"/>
      <c r="AH97" s="1675"/>
      <c r="AI97" s="1745"/>
      <c r="AJ97" s="1675"/>
      <c r="AK97" s="1898"/>
      <c r="AL97" s="1899"/>
      <c r="AM97" s="1737"/>
      <c r="AN97" s="1737"/>
      <c r="AO97" s="1737"/>
      <c r="AP97" s="1737"/>
      <c r="AQ97" s="1737"/>
      <c r="AR97" s="1737"/>
      <c r="AS97" s="1737"/>
      <c r="AT97" s="1737"/>
      <c r="AU97" s="1737"/>
      <c r="AV97" s="1737"/>
      <c r="AW97" s="1737"/>
      <c r="AX97" s="1737"/>
      <c r="AY97" s="1737"/>
      <c r="AZ97" s="1737"/>
      <c r="BA97" s="1737"/>
      <c r="BB97" s="1737"/>
      <c r="BC97" s="1737"/>
      <c r="BD97" s="1737"/>
      <c r="BE97" s="1737"/>
      <c r="BF97" s="1737"/>
    </row>
    <row r="99" spans="1:184" s="3007" customFormat="1" ht="11.25" customHeight="1">
      <c r="A99" s="1731" t="s">
        <v>1960</v>
      </c>
    </row>
    <row r="101" spans="1:184" s="2004" customFormat="1" ht="11.25" customHeight="1">
      <c r="A101" s="1083"/>
      <c r="B101" s="1083"/>
      <c r="C101" s="1083"/>
      <c r="D101" s="1077"/>
      <c r="E101" s="1087"/>
      <c r="F101" s="1743"/>
      <c r="G101" s="1744"/>
      <c r="H101" s="3331" t="s">
        <v>124</v>
      </c>
      <c r="I101" s="3399"/>
      <c r="J101" s="3375"/>
      <c r="K101" s="3400"/>
      <c r="L101" s="3048" t="s">
        <v>19</v>
      </c>
      <c r="M101" s="3049"/>
      <c r="N101" s="1897"/>
      <c r="O101" s="1094" t="s">
        <v>411</v>
      </c>
      <c r="P101" s="1095"/>
      <c r="Q101" s="1095"/>
      <c r="R101" s="1095"/>
      <c r="S101" s="1095"/>
      <c r="T101" s="1095"/>
      <c r="U101" s="1095"/>
      <c r="V101" s="1095"/>
      <c r="W101" s="1095"/>
      <c r="X101" s="1095"/>
      <c r="Y101" s="1095"/>
      <c r="Z101" s="1095"/>
      <c r="AA101" s="1095"/>
      <c r="AB101" s="1095"/>
      <c r="AC101" s="1095"/>
      <c r="AD101" s="1095"/>
      <c r="AE101" s="1095"/>
      <c r="AF101" s="3391"/>
      <c r="AG101" s="3392"/>
      <c r="AH101" s="3392"/>
      <c r="AI101" s="3391"/>
      <c r="AJ101" s="3392"/>
      <c r="AK101" s="3392"/>
      <c r="AL101" s="1899"/>
      <c r="AM101" s="1737"/>
      <c r="AN101" s="1737"/>
      <c r="AO101" s="1737"/>
      <c r="AP101" s="1737"/>
      <c r="AQ101" s="1737"/>
      <c r="AR101" s="1737"/>
      <c r="AS101" s="1737"/>
      <c r="AT101" s="1737"/>
      <c r="AU101" s="1737"/>
      <c r="AV101" s="1737"/>
      <c r="AW101" s="1737"/>
      <c r="AX101" s="1737"/>
      <c r="AY101" s="1737"/>
      <c r="AZ101" s="1737"/>
      <c r="BA101" s="1737"/>
      <c r="BB101" s="1737"/>
      <c r="BC101" s="1737"/>
      <c r="BD101" s="1737"/>
      <c r="BE101" s="1737"/>
      <c r="BF101" s="1737"/>
    </row>
    <row r="102" spans="1:184" s="2004" customFormat="1" ht="11.25" customHeight="1">
      <c r="A102" s="1083"/>
      <c r="B102" s="1083"/>
      <c r="C102" s="1083"/>
      <c r="D102" s="1077"/>
      <c r="E102" s="1087"/>
      <c r="F102" s="1743"/>
      <c r="G102" s="1744"/>
      <c r="H102" s="3331"/>
      <c r="I102" s="3399"/>
      <c r="J102" s="3375"/>
      <c r="K102" s="3400"/>
      <c r="L102" s="3048"/>
      <c r="M102" s="3049"/>
      <c r="N102" s="3393"/>
      <c r="O102" s="3394">
        <v>1</v>
      </c>
      <c r="P102" s="3395" t="s">
        <v>19</v>
      </c>
      <c r="Q102" s="3313" t="s">
        <v>28</v>
      </c>
      <c r="R102" s="3313" t="s">
        <v>28</v>
      </c>
      <c r="S102" s="3313" t="s">
        <v>28</v>
      </c>
      <c r="T102" s="3313" t="s">
        <v>28</v>
      </c>
      <c r="U102" s="3313" t="s">
        <v>28</v>
      </c>
      <c r="V102" s="3313" t="s">
        <v>28</v>
      </c>
      <c r="W102" s="3313" t="s">
        <v>28</v>
      </c>
      <c r="X102" s="3313" t="s">
        <v>28</v>
      </c>
      <c r="Y102" s="3313"/>
      <c r="Z102" s="1092"/>
      <c r="AA102" s="1093"/>
      <c r="AB102" s="1093"/>
      <c r="AC102" s="1097"/>
      <c r="AD102" s="1097"/>
      <c r="AE102" s="1098"/>
      <c r="AF102" s="3391"/>
      <c r="AG102" s="3392"/>
      <c r="AH102" s="3392"/>
      <c r="AI102" s="3391"/>
      <c r="AJ102" s="3392"/>
      <c r="AK102" s="3392"/>
      <c r="AL102" s="1899"/>
      <c r="AM102" s="1737"/>
      <c r="AN102" s="1737"/>
      <c r="AO102" s="1737"/>
      <c r="AP102" s="1737"/>
      <c r="AQ102" s="1737"/>
      <c r="AR102" s="1737"/>
      <c r="AS102" s="1737"/>
      <c r="AT102" s="1737"/>
      <c r="AU102" s="1737"/>
      <c r="AV102" s="1737"/>
      <c r="AW102" s="1737"/>
      <c r="AX102" s="1737"/>
      <c r="AY102" s="1737"/>
      <c r="AZ102" s="1737"/>
      <c r="BA102" s="1737"/>
      <c r="BB102" s="1737"/>
      <c r="BC102" s="1737"/>
      <c r="BD102" s="1737"/>
      <c r="BE102" s="1737"/>
      <c r="BF102" s="1737"/>
    </row>
    <row r="103" spans="1:184" s="2004" customFormat="1" ht="11.25" customHeight="1">
      <c r="A103" s="1083"/>
      <c r="B103" s="1083"/>
      <c r="C103" s="1083"/>
      <c r="D103" s="1077"/>
      <c r="E103" s="1087"/>
      <c r="F103" s="1743"/>
      <c r="G103" s="1744"/>
      <c r="H103" s="3331"/>
      <c r="I103" s="3399"/>
      <c r="J103" s="3375"/>
      <c r="K103" s="3400"/>
      <c r="L103" s="3048"/>
      <c r="M103" s="3049"/>
      <c r="N103" s="3393"/>
      <c r="O103" s="3394"/>
      <c r="P103" s="3396"/>
      <c r="Q103" s="3313"/>
      <c r="R103" s="3313"/>
      <c r="S103" s="3398"/>
      <c r="T103" s="3313"/>
      <c r="U103" s="3313"/>
      <c r="V103" s="3313"/>
      <c r="W103" s="3313"/>
      <c r="X103" s="3313"/>
      <c r="Y103" s="3313"/>
      <c r="Z103" s="1742"/>
      <c r="AA103" s="1710">
        <v>1</v>
      </c>
      <c r="AB103" s="1096"/>
      <c r="AC103" s="1086"/>
      <c r="AD103" s="1096">
        <f>AB103</f>
        <v>0</v>
      </c>
      <c r="AE103" s="1086"/>
      <c r="AF103" s="3391"/>
      <c r="AG103" s="3392"/>
      <c r="AH103" s="3392"/>
      <c r="AI103" s="3391"/>
      <c r="AJ103" s="3392"/>
      <c r="AK103" s="3392"/>
      <c r="AL103" s="1899"/>
      <c r="AM103" s="1737"/>
      <c r="AN103" s="1737"/>
      <c r="AO103" s="1737"/>
      <c r="AP103" s="1737"/>
      <c r="AQ103" s="1737"/>
      <c r="AR103" s="1737"/>
      <c r="AS103" s="1737"/>
      <c r="AT103" s="1737"/>
      <c r="AU103" s="1737"/>
      <c r="AV103" s="1737"/>
      <c r="AW103" s="1737"/>
      <c r="AX103" s="1737"/>
      <c r="AY103" s="1737"/>
      <c r="AZ103" s="1737"/>
      <c r="BA103" s="1737"/>
      <c r="BB103" s="1737"/>
      <c r="BC103" s="1737"/>
      <c r="BD103" s="1737"/>
      <c r="BE103" s="1737"/>
      <c r="BF103" s="1737"/>
    </row>
    <row r="104" spans="1:184" s="2004" customFormat="1" ht="11.25" customHeight="1">
      <c r="A104" s="1083"/>
      <c r="B104" s="1083"/>
      <c r="C104" s="1083"/>
      <c r="D104" s="1077"/>
      <c r="E104" s="1087"/>
      <c r="F104" s="1743"/>
      <c r="G104" s="1744"/>
      <c r="H104" s="3331"/>
      <c r="I104" s="3399"/>
      <c r="J104" s="3375"/>
      <c r="K104" s="3400"/>
      <c r="L104" s="3048"/>
      <c r="M104" s="3049"/>
      <c r="N104" s="3393"/>
      <c r="O104" s="3394"/>
      <c r="P104" s="3397"/>
      <c r="Q104" s="3313"/>
      <c r="R104" s="3313"/>
      <c r="S104" s="3398"/>
      <c r="T104" s="3313"/>
      <c r="U104" s="3313"/>
      <c r="V104" s="3313"/>
      <c r="W104" s="3313"/>
      <c r="X104" s="3313"/>
      <c r="Y104" s="3313"/>
      <c r="Z104" s="1092"/>
      <c r="AA104" s="1093"/>
      <c r="AB104" s="1158" t="s">
        <v>1958</v>
      </c>
      <c r="AC104" s="1097"/>
      <c r="AD104" s="1097"/>
      <c r="AE104" s="1099"/>
      <c r="AF104" s="3391"/>
      <c r="AG104" s="3392"/>
      <c r="AH104" s="3392"/>
      <c r="AI104" s="3391"/>
      <c r="AJ104" s="3392"/>
      <c r="AK104" s="3392"/>
      <c r="AL104" s="1899"/>
      <c r="AM104" s="1737"/>
      <c r="AN104" s="1737"/>
      <c r="AO104" s="1737"/>
      <c r="AP104" s="1737"/>
      <c r="AQ104" s="1737"/>
      <c r="AR104" s="1737"/>
      <c r="AS104" s="1737"/>
      <c r="AT104" s="1737"/>
      <c r="AU104" s="1737"/>
      <c r="AV104" s="1737"/>
      <c r="AW104" s="1737"/>
      <c r="AX104" s="1737"/>
      <c r="AY104" s="1737"/>
      <c r="AZ104" s="1737"/>
      <c r="BA104" s="1737"/>
      <c r="BB104" s="1737"/>
      <c r="BC104" s="1737"/>
      <c r="BD104" s="1737"/>
      <c r="BE104" s="1737"/>
      <c r="BF104" s="1737"/>
    </row>
    <row r="105" spans="1:184" s="2004" customFormat="1" ht="11.25" customHeight="1">
      <c r="A105" s="1083"/>
      <c r="B105" s="1083"/>
      <c r="C105" s="1083"/>
      <c r="D105" s="1077"/>
      <c r="E105" s="1087"/>
      <c r="F105" s="1743"/>
      <c r="G105" s="1744"/>
      <c r="H105" s="3331"/>
      <c r="I105" s="3399"/>
      <c r="J105" s="3375"/>
      <c r="K105" s="3400"/>
      <c r="L105" s="3048"/>
      <c r="M105" s="3049"/>
      <c r="N105" s="1092"/>
      <c r="O105" s="1093"/>
      <c r="P105" s="1085" t="s">
        <v>1961</v>
      </c>
      <c r="Q105" s="1093"/>
      <c r="R105" s="1093"/>
      <c r="S105" s="1093"/>
      <c r="T105" s="1093"/>
      <c r="U105" s="1093"/>
      <c r="V105" s="1093"/>
      <c r="W105" s="1093"/>
      <c r="X105" s="1093"/>
      <c r="Y105" s="1093"/>
      <c r="Z105" s="1093"/>
      <c r="AA105" s="1093"/>
      <c r="AB105" s="1093"/>
      <c r="AC105" s="1093"/>
      <c r="AD105" s="1093"/>
      <c r="AE105" s="1100"/>
      <c r="AF105" s="3391"/>
      <c r="AG105" s="3392"/>
      <c r="AH105" s="3392"/>
      <c r="AI105" s="3391"/>
      <c r="AJ105" s="3392"/>
      <c r="AK105" s="3392"/>
      <c r="AL105" s="1899"/>
      <c r="AM105" s="1737"/>
      <c r="AN105" s="1737"/>
      <c r="AO105" s="1737"/>
      <c r="AP105" s="1737"/>
      <c r="AQ105" s="1737"/>
      <c r="AR105" s="1737"/>
      <c r="AS105" s="1737"/>
      <c r="AT105" s="1737"/>
      <c r="AU105" s="1737"/>
      <c r="AV105" s="1737"/>
      <c r="AW105" s="1737"/>
      <c r="AX105" s="1737"/>
      <c r="AY105" s="1737"/>
      <c r="AZ105" s="1737"/>
      <c r="BA105" s="1737"/>
      <c r="BB105" s="1737"/>
      <c r="BC105" s="1737"/>
      <c r="BD105" s="1737"/>
      <c r="BE105" s="1737"/>
      <c r="BF105" s="1737"/>
    </row>
    <row r="107" spans="1:184" s="3007" customFormat="1" ht="11.25" customHeight="1">
      <c r="A107" s="1731" t="s">
        <v>1962</v>
      </c>
    </row>
    <row r="108" spans="1:184" ht="17.25" customHeight="1"/>
    <row r="109" spans="1:184" s="2988" customFormat="1" ht="21" customHeight="1">
      <c r="A109" s="1084"/>
      <c r="B109" s="863"/>
      <c r="D109" s="847"/>
      <c r="E109" s="862" t="s">
        <v>28</v>
      </c>
      <c r="F109" s="1038" t="e">
        <f>INDEX(IP_MAIN_LIST_NAME_IP,MATCH(A109,IP_MAIN_LIST_IP_ID,0))&amp;" ("&amp;INDEX(IP_MAIN_START_DATE,MATCH(A109,IP_MAIN_LIST_IP_ID,0))&amp;"-"&amp;INDEX(IP_MAIN_END_DATE,MATCH(A109,IP_MAIN_LIST_IP_ID,0))&amp;")"</f>
        <v>#N/A</v>
      </c>
      <c r="G109" s="1120"/>
      <c r="H109" s="1121"/>
      <c r="I109" s="1121"/>
      <c r="J109" s="1121"/>
      <c r="K109" s="1121"/>
      <c r="L109" s="1121"/>
      <c r="M109" s="1121"/>
      <c r="N109" s="1121"/>
      <c r="O109" s="1120"/>
      <c r="P109" s="1120"/>
      <c r="Q109" s="1120"/>
      <c r="R109" s="1120"/>
      <c r="S109" s="1120"/>
      <c r="T109" s="1120"/>
      <c r="U109" s="1122"/>
      <c r="V109" s="1122"/>
      <c r="W109" s="1122"/>
      <c r="X109" s="1122"/>
      <c r="Y109" s="1122"/>
      <c r="Z109" s="1122"/>
      <c r="AA109" s="1122"/>
      <c r="AB109" s="1120"/>
      <c r="AC109" s="1121"/>
      <c r="AD109" s="1121"/>
      <c r="AE109" s="1121"/>
      <c r="AF109" s="1121"/>
      <c r="AG109" s="1121"/>
      <c r="AH109" s="1121"/>
      <c r="AI109" s="1121"/>
      <c r="AJ109" s="1121"/>
      <c r="AK109" s="1121"/>
      <c r="AL109" s="1121"/>
      <c r="AM109" s="1121"/>
      <c r="AN109" s="1121"/>
      <c r="AO109" s="1121"/>
      <c r="AP109" s="1121"/>
      <c r="AQ109" s="1121"/>
      <c r="AR109" s="1121"/>
      <c r="AS109" s="1121"/>
      <c r="AT109" s="1121"/>
      <c r="AU109" s="1121"/>
      <c r="AV109" s="1121"/>
      <c r="AW109" s="1121"/>
      <c r="AX109" s="1121"/>
      <c r="AY109" s="1121"/>
      <c r="AZ109" s="1121"/>
      <c r="BA109" s="1121"/>
      <c r="BB109" s="1121"/>
      <c r="BC109" s="1121"/>
      <c r="BD109" s="1121"/>
      <c r="BE109" s="1121"/>
      <c r="BF109" s="1121"/>
      <c r="BG109" s="1121"/>
      <c r="BH109" s="1121"/>
      <c r="BI109" s="1121"/>
      <c r="BJ109" s="1121"/>
      <c r="BK109" s="1121"/>
      <c r="BL109" s="1121"/>
      <c r="BM109" s="1121"/>
      <c r="BN109" s="1121"/>
      <c r="BO109" s="1121"/>
      <c r="BP109" s="1121"/>
      <c r="BQ109" s="1121"/>
      <c r="BR109" s="1121"/>
      <c r="BS109" s="1121"/>
      <c r="BT109" s="1121"/>
      <c r="BU109" s="1121"/>
      <c r="BV109" s="1121"/>
      <c r="BW109" s="1121"/>
      <c r="BX109" s="1121"/>
      <c r="BY109" s="1121"/>
      <c r="BZ109" s="1121"/>
      <c r="CA109" s="1121"/>
      <c r="CB109" s="1121"/>
      <c r="CC109" s="1121"/>
      <c r="CD109" s="1121"/>
      <c r="CE109" s="1121"/>
      <c r="CF109" s="1121"/>
      <c r="CG109" s="1121"/>
      <c r="CH109" s="1121"/>
      <c r="CI109" s="1121"/>
      <c r="CJ109" s="1121"/>
      <c r="CK109" s="1121"/>
      <c r="CL109" s="1123"/>
      <c r="CM109" s="1123"/>
      <c r="CN109" s="1123"/>
      <c r="CO109" s="1123"/>
      <c r="CP109" s="1123"/>
      <c r="CQ109" s="1123"/>
      <c r="CR109" s="1123"/>
      <c r="CS109" s="1123"/>
      <c r="CT109" s="1123"/>
      <c r="CU109" s="1123"/>
      <c r="CV109" s="1123"/>
      <c r="CW109" s="1123"/>
      <c r="CX109" s="1123"/>
      <c r="CY109" s="1123"/>
      <c r="CZ109" s="1123"/>
      <c r="DA109" s="1123"/>
      <c r="DB109" s="1123"/>
      <c r="DC109" s="1123"/>
      <c r="DD109" s="1123"/>
      <c r="DE109" s="1123"/>
      <c r="DF109" s="1123"/>
      <c r="DG109" s="1123"/>
      <c r="DH109" s="1123"/>
      <c r="DI109" s="1123"/>
      <c r="DJ109" s="1123"/>
      <c r="DK109" s="1123"/>
      <c r="DL109" s="1123"/>
      <c r="DM109" s="1123"/>
      <c r="DN109" s="1123"/>
      <c r="DO109" s="1123"/>
      <c r="DP109" s="1123"/>
      <c r="DQ109" s="1123"/>
      <c r="DR109" s="1123"/>
      <c r="DS109" s="1123"/>
      <c r="DT109" s="1123"/>
      <c r="DU109" s="1123"/>
      <c r="DV109" s="1123"/>
      <c r="DW109" s="1123"/>
      <c r="DX109" s="1123"/>
      <c r="DY109" s="1123"/>
      <c r="DZ109" s="1123"/>
      <c r="EA109" s="1123"/>
      <c r="EB109" s="1123"/>
      <c r="EC109" s="1123"/>
      <c r="ED109" s="1123"/>
      <c r="EE109" s="1123"/>
      <c r="EF109" s="1123"/>
      <c r="EG109" s="1123"/>
      <c r="EH109" s="1123"/>
      <c r="EI109" s="1123"/>
      <c r="EJ109" s="1123"/>
      <c r="EK109" s="1123"/>
      <c r="EL109" s="1123"/>
      <c r="EM109" s="1123"/>
      <c r="EN109" s="1123"/>
      <c r="EO109" s="1123"/>
      <c r="EP109" s="1123"/>
      <c r="EQ109" s="1123"/>
      <c r="ER109" s="1123"/>
      <c r="ES109" s="1123"/>
      <c r="ET109" s="1123"/>
      <c r="EU109" s="1123"/>
      <c r="EV109" s="1123"/>
      <c r="EW109" s="1123"/>
      <c r="EX109" s="1123"/>
      <c r="EY109" s="1123"/>
      <c r="EZ109" s="1123"/>
      <c r="FA109" s="1123"/>
      <c r="FB109" s="1123"/>
      <c r="FC109" s="1123"/>
      <c r="FD109" s="1123"/>
      <c r="FE109" s="1123"/>
      <c r="FF109" s="1123"/>
      <c r="FG109" s="1123"/>
      <c r="FH109" s="1123"/>
      <c r="FI109" s="1123"/>
      <c r="FJ109" s="1123"/>
      <c r="FK109" s="1123"/>
      <c r="FL109" s="1123"/>
      <c r="FM109" s="1123"/>
      <c r="FN109" s="1123"/>
      <c r="FO109" s="1123"/>
      <c r="FP109" s="1123"/>
      <c r="FQ109" s="1123"/>
      <c r="FR109" s="1123"/>
      <c r="FS109" s="1123"/>
      <c r="FT109" s="1123"/>
      <c r="FU109" s="1123"/>
      <c r="FV109" s="1124"/>
      <c r="FW109" s="1118"/>
      <c r="FX109" s="1119"/>
    </row>
    <row r="110" spans="1:184" s="2988" customFormat="1" ht="24.75" customHeight="1">
      <c r="B110" s="846"/>
      <c r="C110" s="847"/>
      <c r="D110" s="847"/>
      <c r="E110" s="1749"/>
      <c r="F110" s="1125">
        <v>1</v>
      </c>
      <c r="G110" s="1126"/>
      <c r="H110" s="1127"/>
      <c r="I110" s="1893"/>
      <c r="J110" s="1128"/>
      <c r="K110" s="1128"/>
      <c r="L110" s="1128"/>
      <c r="M110" s="1128"/>
      <c r="N110" s="1128"/>
      <c r="O110" s="1129"/>
      <c r="P110" s="1129"/>
      <c r="Q110" s="1129"/>
      <c r="R110" s="1129"/>
      <c r="S110" s="1129"/>
      <c r="T110" s="1129"/>
      <c r="U110" s="1129"/>
      <c r="V110" s="1129"/>
      <c r="W110" s="1129"/>
      <c r="X110" s="1129"/>
      <c r="Y110" s="1129"/>
      <c r="Z110" s="1129"/>
      <c r="AA110" s="1129"/>
      <c r="AB110" s="1129"/>
      <c r="AC110" s="1128"/>
      <c r="AD110" s="1128"/>
      <c r="AE110" s="1128"/>
      <c r="AF110" s="1128"/>
      <c r="AG110" s="1128"/>
      <c r="AH110" s="1128"/>
      <c r="AI110" s="1128"/>
      <c r="AJ110" s="1128"/>
      <c r="AK110" s="1128"/>
      <c r="AL110" s="1128"/>
      <c r="AM110" s="1128"/>
      <c r="AN110" s="1128"/>
      <c r="AO110" s="1128"/>
      <c r="AP110" s="1128"/>
      <c r="AQ110" s="1128"/>
      <c r="AR110" s="1128"/>
      <c r="AS110" s="1128"/>
      <c r="AT110" s="1128"/>
      <c r="AU110" s="1128"/>
      <c r="AV110" s="1128"/>
      <c r="AW110" s="1128"/>
      <c r="AX110" s="1128"/>
      <c r="AY110" s="1128"/>
      <c r="AZ110" s="1128"/>
      <c r="BA110" s="1128"/>
      <c r="BB110" s="1128"/>
      <c r="BC110" s="1128"/>
      <c r="BD110" s="1128"/>
      <c r="BE110" s="1128"/>
      <c r="BF110" s="1128"/>
      <c r="BG110" s="1128"/>
      <c r="BH110" s="1128"/>
      <c r="BI110" s="1128"/>
      <c r="BJ110" s="1128"/>
      <c r="BK110" s="1128"/>
      <c r="BL110" s="1128"/>
      <c r="BM110" s="1128"/>
      <c r="BN110" s="1128"/>
      <c r="BO110" s="1128"/>
      <c r="BP110" s="1128"/>
      <c r="BQ110" s="1128"/>
      <c r="BR110" s="1128"/>
      <c r="BS110" s="1128"/>
      <c r="BT110" s="1129"/>
      <c r="BU110" s="1129"/>
      <c r="BV110" s="1129"/>
      <c r="BW110" s="1129"/>
      <c r="BX110" s="1129"/>
      <c r="BY110" s="1129"/>
      <c r="BZ110" s="1129"/>
      <c r="CA110" s="1129"/>
      <c r="CB110" s="1129"/>
      <c r="CC110" s="1129"/>
      <c r="CD110" s="1129"/>
      <c r="CE110" s="1129"/>
      <c r="CF110" s="1129"/>
      <c r="CG110" s="1129"/>
      <c r="CH110" s="1129"/>
      <c r="CI110" s="1129"/>
      <c r="CJ110" s="1129"/>
      <c r="CK110" s="1129"/>
      <c r="CL110" s="1128"/>
      <c r="CM110" s="1128"/>
      <c r="CN110" s="1128"/>
      <c r="CO110" s="1128"/>
      <c r="CP110" s="1128"/>
      <c r="CQ110" s="1128"/>
      <c r="CR110" s="1128"/>
      <c r="CS110" s="1128"/>
      <c r="CT110" s="1128"/>
      <c r="CU110" s="1128"/>
      <c r="CV110" s="1128"/>
      <c r="CW110" s="1128"/>
      <c r="CX110" s="1128"/>
      <c r="CY110" s="1129"/>
      <c r="CZ110" s="1129"/>
      <c r="DA110" s="1129"/>
      <c r="DB110" s="1129"/>
      <c r="DC110" s="1129"/>
      <c r="DD110" s="1129"/>
      <c r="DE110" s="1129"/>
      <c r="DF110" s="1129"/>
      <c r="DG110" s="1129"/>
      <c r="DH110" s="1129"/>
      <c r="DI110" s="1129"/>
      <c r="DJ110" s="1129"/>
      <c r="DK110" s="1128"/>
      <c r="DL110" s="1128"/>
      <c r="DM110" s="1128"/>
      <c r="DN110" s="1128"/>
      <c r="DO110" s="1128"/>
      <c r="DP110" s="1128"/>
      <c r="DQ110" s="1128"/>
      <c r="DR110" s="1128"/>
      <c r="DS110" s="1128"/>
      <c r="DT110" s="1128"/>
      <c r="DU110" s="1128"/>
      <c r="DV110" s="1128"/>
      <c r="DW110" s="1128"/>
      <c r="DX110" s="1128"/>
      <c r="DY110" s="1128"/>
      <c r="DZ110" s="1128"/>
      <c r="EA110" s="1128"/>
      <c r="EB110" s="1128"/>
      <c r="EC110" s="1128"/>
      <c r="ED110" s="1128"/>
      <c r="EE110" s="1128"/>
      <c r="EF110" s="1128"/>
      <c r="EG110" s="1128"/>
      <c r="EH110" s="1128"/>
      <c r="EI110" s="1128"/>
      <c r="EJ110" s="1128"/>
      <c r="EK110" s="1128"/>
      <c r="EL110" s="1128"/>
      <c r="EM110" s="1128"/>
      <c r="EN110" s="1128"/>
      <c r="EO110" s="1128"/>
      <c r="EP110" s="1128"/>
      <c r="EQ110" s="1128"/>
      <c r="ER110" s="1128"/>
      <c r="ES110" s="1128"/>
      <c r="ET110" s="1128"/>
      <c r="EU110" s="1128"/>
      <c r="EV110" s="1128"/>
      <c r="EW110" s="1128"/>
      <c r="EX110" s="1128"/>
      <c r="EY110" s="1128"/>
      <c r="EZ110" s="1128"/>
      <c r="FA110" s="1128"/>
      <c r="FB110" s="1128"/>
      <c r="FC110" s="1128"/>
      <c r="FD110" s="1128"/>
      <c r="FE110" s="1128"/>
      <c r="FF110" s="1128"/>
      <c r="FG110" s="1128"/>
      <c r="FH110" s="1128"/>
      <c r="FI110" s="1128"/>
      <c r="FJ110" s="1128"/>
      <c r="FK110" s="1128"/>
      <c r="FL110" s="1128"/>
      <c r="FM110" s="1128"/>
      <c r="FN110" s="1128"/>
      <c r="FO110" s="1128"/>
      <c r="FP110" s="1128"/>
      <c r="FQ110" s="1128"/>
      <c r="FR110" s="1128"/>
      <c r="FS110" s="1128"/>
      <c r="FT110" s="1128"/>
      <c r="FU110" s="1128"/>
      <c r="FV110" s="1128"/>
      <c r="FW110" s="1128"/>
      <c r="FX110" s="1119"/>
    </row>
    <row r="111" spans="1:184" s="2988" customFormat="1" ht="12" customHeight="1">
      <c r="A111" s="847"/>
      <c r="B111" s="846"/>
      <c r="C111" s="847"/>
      <c r="D111" s="847"/>
      <c r="E111" s="847"/>
      <c r="F111" s="1130"/>
      <c r="G111" s="1716" t="s">
        <v>1963</v>
      </c>
      <c r="H111" s="1131"/>
      <c r="I111" s="1131"/>
      <c r="J111" s="1131"/>
      <c r="K111" s="1131"/>
      <c r="L111" s="1131"/>
      <c r="M111" s="1131"/>
      <c r="N111" s="1131"/>
      <c r="O111" s="1131"/>
      <c r="P111" s="1131"/>
      <c r="Q111" s="1131"/>
      <c r="R111" s="1131"/>
      <c r="S111" s="1131"/>
      <c r="T111" s="1131"/>
      <c r="U111" s="1131"/>
      <c r="V111" s="1131"/>
      <c r="W111" s="1131"/>
      <c r="X111" s="1131"/>
      <c r="Y111" s="1131"/>
      <c r="Z111" s="1131"/>
      <c r="AA111" s="1131"/>
      <c r="AB111" s="1131"/>
      <c r="AC111" s="1131"/>
      <c r="AD111" s="1131"/>
      <c r="AE111" s="1131"/>
      <c r="AF111" s="1131"/>
      <c r="AG111" s="1131"/>
      <c r="AH111" s="1131"/>
      <c r="AI111" s="1131"/>
      <c r="AJ111" s="1131"/>
      <c r="AK111" s="1131"/>
      <c r="AL111" s="1131"/>
      <c r="AM111" s="1131"/>
      <c r="AN111" s="1131"/>
      <c r="AO111" s="1131"/>
      <c r="AP111" s="1131"/>
      <c r="AQ111" s="1131"/>
      <c r="AR111" s="1131"/>
      <c r="AS111" s="1131"/>
      <c r="AT111" s="1131"/>
      <c r="AU111" s="1131"/>
      <c r="AV111" s="1131"/>
      <c r="AW111" s="1131"/>
      <c r="AX111" s="1131"/>
      <c r="AY111" s="1131"/>
      <c r="AZ111" s="1131"/>
      <c r="BA111" s="1131"/>
      <c r="BB111" s="1131"/>
      <c r="BC111" s="1131"/>
      <c r="BD111" s="1131"/>
      <c r="BE111" s="1131"/>
      <c r="BF111" s="1131"/>
      <c r="BG111" s="1131"/>
      <c r="BH111" s="1131"/>
      <c r="BI111" s="1131"/>
      <c r="BJ111" s="1131"/>
      <c r="BK111" s="1131"/>
      <c r="BL111" s="1131"/>
      <c r="BM111" s="1131"/>
      <c r="BN111" s="1131"/>
      <c r="BO111" s="1131"/>
      <c r="BP111" s="1131"/>
      <c r="BQ111" s="1131"/>
      <c r="BR111" s="1131"/>
      <c r="BS111" s="1131"/>
      <c r="BT111" s="1131"/>
      <c r="BU111" s="1131"/>
      <c r="BV111" s="1131"/>
      <c r="BW111" s="1131"/>
      <c r="BX111" s="1131"/>
      <c r="BY111" s="1131"/>
      <c r="BZ111" s="1131"/>
      <c r="CA111" s="1131"/>
      <c r="CB111" s="1131"/>
      <c r="CC111" s="1131"/>
      <c r="CD111" s="1131"/>
      <c r="CE111" s="1131"/>
      <c r="CF111" s="1131"/>
      <c r="CG111" s="1131"/>
      <c r="CH111" s="1131"/>
      <c r="CI111" s="1131"/>
      <c r="CJ111" s="1131"/>
      <c r="CK111" s="1131"/>
      <c r="CL111" s="1131"/>
      <c r="CM111" s="1131"/>
      <c r="CN111" s="1131"/>
      <c r="CO111" s="1131"/>
      <c r="CP111" s="1131"/>
      <c r="CQ111" s="1131"/>
      <c r="CR111" s="1131"/>
      <c r="CS111" s="1131"/>
      <c r="CT111" s="1131"/>
      <c r="CU111" s="1131"/>
      <c r="CV111" s="1131"/>
      <c r="CW111" s="1131"/>
      <c r="CX111" s="1131"/>
      <c r="CY111" s="1131"/>
      <c r="CZ111" s="1131"/>
      <c r="DA111" s="1131"/>
      <c r="DB111" s="1131"/>
      <c r="DC111" s="1131"/>
      <c r="DD111" s="1131"/>
      <c r="DE111" s="1131"/>
      <c r="DF111" s="1131"/>
      <c r="DG111" s="1131"/>
      <c r="DH111" s="1131"/>
      <c r="DI111" s="1131"/>
      <c r="DJ111" s="1131"/>
      <c r="DK111" s="1131"/>
      <c r="DL111" s="1131"/>
      <c r="DM111" s="1131"/>
      <c r="DN111" s="1131"/>
      <c r="DO111" s="1131"/>
      <c r="DP111" s="1131"/>
      <c r="DQ111" s="1131"/>
      <c r="DR111" s="1131"/>
      <c r="DS111" s="1131"/>
      <c r="DT111" s="1131"/>
      <c r="DU111" s="1131"/>
      <c r="DV111" s="1131"/>
      <c r="DW111" s="1131"/>
      <c r="DX111" s="1131"/>
      <c r="DY111" s="1131"/>
      <c r="DZ111" s="1131"/>
      <c r="EA111" s="1131"/>
      <c r="EB111" s="1131"/>
      <c r="EC111" s="1131"/>
      <c r="ED111" s="1131"/>
      <c r="EE111" s="1131"/>
      <c r="EF111" s="1131"/>
      <c r="EG111" s="1131"/>
      <c r="EH111" s="1131"/>
      <c r="EI111" s="1131"/>
      <c r="EJ111" s="1131"/>
      <c r="EK111" s="1131"/>
      <c r="EL111" s="1131"/>
      <c r="EM111" s="1131"/>
      <c r="EN111" s="1131"/>
      <c r="EO111" s="1131"/>
      <c r="EP111" s="1131"/>
      <c r="EQ111" s="1131"/>
      <c r="ER111" s="1131"/>
      <c r="ES111" s="1131"/>
      <c r="ET111" s="1131"/>
      <c r="EU111" s="1131"/>
      <c r="EV111" s="1131"/>
      <c r="EW111" s="1131"/>
      <c r="EX111" s="1131"/>
      <c r="EY111" s="1131"/>
      <c r="EZ111" s="1131"/>
      <c r="FA111" s="1131"/>
      <c r="FB111" s="1131"/>
      <c r="FC111" s="1131"/>
      <c r="FD111" s="1131"/>
      <c r="FE111" s="1131"/>
      <c r="FF111" s="1131"/>
      <c r="FG111" s="1131"/>
      <c r="FH111" s="1131"/>
      <c r="FI111" s="1131"/>
      <c r="FJ111" s="1131"/>
      <c r="FK111" s="1131"/>
      <c r="FL111" s="1131"/>
      <c r="FM111" s="1131"/>
      <c r="FN111" s="1131"/>
      <c r="FO111" s="1131"/>
      <c r="FP111" s="1131"/>
      <c r="FQ111" s="1131"/>
      <c r="FR111" s="1131"/>
      <c r="FS111" s="1131"/>
      <c r="FT111" s="1131"/>
      <c r="FU111" s="1131"/>
      <c r="FV111" s="1131"/>
      <c r="FW111" s="1132"/>
      <c r="FX111" s="1133"/>
      <c r="FY111" s="864"/>
      <c r="FZ111" s="864"/>
      <c r="GA111" s="864"/>
      <c r="GB111" s="864"/>
    </row>
    <row r="113" spans="1:83" s="3007" customFormat="1" ht="11.25" customHeight="1">
      <c r="A113" s="1731" t="s">
        <v>1964</v>
      </c>
    </row>
    <row r="115" spans="1:83" s="2021" customFormat="1" ht="15" customHeight="1">
      <c r="A115" s="557"/>
      <c r="B115" s="558"/>
      <c r="C115" s="558"/>
      <c r="D115" s="3443" t="s">
        <v>124</v>
      </c>
      <c r="E115" s="3290" t="s">
        <v>120</v>
      </c>
      <c r="F115" s="3291"/>
      <c r="G115" s="3292"/>
      <c r="H115" s="3296" t="str">
        <f>IF(A115="","",INDEX(DIFFERENTIATION_UNMERGE_VD,MATCH(A115,DIFFERENTIATION_ID_DIFF,0)))</f>
        <v/>
      </c>
      <c r="I115" s="3296"/>
      <c r="J115" s="3296"/>
      <c r="K115" s="3296"/>
      <c r="L115" s="3296"/>
      <c r="M115" s="3296"/>
      <c r="N115" s="3296"/>
      <c r="O115" s="3296"/>
      <c r="P115" s="3296"/>
      <c r="Q115" s="3296"/>
      <c r="R115" s="3296"/>
      <c r="S115" s="653"/>
      <c r="T115" s="650"/>
      <c r="U115" s="559"/>
      <c r="V115" s="559"/>
      <c r="W115" s="560"/>
      <c r="X115" s="560"/>
      <c r="Y115" s="560"/>
      <c r="Z115" s="560"/>
      <c r="AA115" s="561"/>
      <c r="AB115" s="562"/>
      <c r="AC115" s="3288"/>
      <c r="AD115" s="563"/>
      <c r="AE115" s="564" t="s">
        <v>28</v>
      </c>
      <c r="AF115" s="564"/>
      <c r="AG115" s="565" t="s">
        <v>642</v>
      </c>
      <c r="AH115" s="566">
        <v>3</v>
      </c>
      <c r="AI115" s="559"/>
      <c r="AJ115" s="559"/>
      <c r="AK115" s="559"/>
      <c r="AL115" s="559"/>
      <c r="AM115" s="559"/>
      <c r="AN115" s="559"/>
      <c r="AO115" s="559"/>
      <c r="AP115" s="559"/>
      <c r="AQ115" s="559"/>
      <c r="AR115" s="559"/>
      <c r="AS115" s="559"/>
      <c r="AT115" s="559"/>
      <c r="AU115" s="559"/>
      <c r="AV115" s="559"/>
      <c r="AW115" s="559"/>
      <c r="AX115" s="559"/>
      <c r="AY115" s="559"/>
      <c r="AZ115" s="559"/>
      <c r="BA115" s="559"/>
      <c r="BB115" s="559"/>
      <c r="BC115" s="559"/>
      <c r="BD115" s="559"/>
      <c r="BE115" s="559"/>
      <c r="BF115" s="559"/>
      <c r="BG115" s="559"/>
      <c r="BH115" s="559"/>
      <c r="BI115" s="559"/>
      <c r="BJ115" s="559"/>
      <c r="BK115" s="559"/>
      <c r="BL115" s="559"/>
      <c r="BM115" s="559"/>
      <c r="BN115" s="559"/>
      <c r="BO115" s="559"/>
      <c r="BP115" s="559"/>
      <c r="BQ115" s="559"/>
      <c r="BR115" s="559"/>
      <c r="BS115" s="559"/>
      <c r="BT115" s="559"/>
      <c r="BU115" s="559"/>
      <c r="BV115" s="560"/>
      <c r="BW115" s="560"/>
      <c r="BX115" s="560"/>
      <c r="BY115" s="560"/>
      <c r="BZ115" s="560"/>
      <c r="CA115" s="560"/>
      <c r="CB115" s="560"/>
      <c r="CC115" s="560"/>
      <c r="CD115" s="560"/>
      <c r="CE115" s="560"/>
    </row>
    <row r="116" spans="1:83" s="2021" customFormat="1" ht="15" customHeight="1">
      <c r="A116" s="557"/>
      <c r="B116" s="558"/>
      <c r="C116" s="558"/>
      <c r="D116" s="3444"/>
      <c r="E116" s="3290" t="s">
        <v>597</v>
      </c>
      <c r="F116" s="3291"/>
      <c r="G116" s="3292"/>
      <c r="H116" s="3296" t="str">
        <f>IF(A115="","",INDEX(DIFFERENTIATION_UNMERGE_AREA,MATCH(A115,DIFFERENTIATION_ID_DIFF,0)))</f>
        <v/>
      </c>
      <c r="I116" s="3296"/>
      <c r="J116" s="3296"/>
      <c r="K116" s="3296"/>
      <c r="L116" s="3296"/>
      <c r="M116" s="3296"/>
      <c r="N116" s="3296"/>
      <c r="O116" s="3296"/>
      <c r="P116" s="3296"/>
      <c r="Q116" s="3296"/>
      <c r="R116" s="3296"/>
      <c r="S116" s="653"/>
      <c r="T116" s="650"/>
      <c r="U116" s="559"/>
      <c r="V116" s="559"/>
      <c r="W116" s="560"/>
      <c r="X116" s="560"/>
      <c r="Y116" s="560"/>
      <c r="Z116" s="560"/>
      <c r="AA116" s="561"/>
      <c r="AB116" s="562"/>
      <c r="AC116" s="3288"/>
      <c r="AD116" s="563"/>
      <c r="AE116" s="564"/>
      <c r="AF116" s="564"/>
      <c r="AG116" s="565"/>
      <c r="AH116" s="566"/>
      <c r="AI116" s="559"/>
      <c r="AJ116" s="559"/>
      <c r="AK116" s="559"/>
      <c r="AL116" s="559"/>
      <c r="AM116" s="559"/>
      <c r="AN116" s="559"/>
      <c r="AO116" s="559"/>
      <c r="AP116" s="559"/>
      <c r="AQ116" s="559"/>
      <c r="AR116" s="559"/>
      <c r="AS116" s="559"/>
      <c r="AT116" s="559"/>
      <c r="AU116" s="559"/>
      <c r="AV116" s="559"/>
      <c r="AW116" s="559"/>
      <c r="AX116" s="559"/>
      <c r="AY116" s="559"/>
      <c r="AZ116" s="559"/>
      <c r="BA116" s="559"/>
      <c r="BB116" s="559"/>
      <c r="BC116" s="559"/>
      <c r="BD116" s="559"/>
      <c r="BE116" s="559"/>
      <c r="BF116" s="559"/>
      <c r="BG116" s="559"/>
      <c r="BH116" s="559"/>
      <c r="BI116" s="559"/>
      <c r="BJ116" s="559"/>
      <c r="BK116" s="559"/>
      <c r="BL116" s="559"/>
      <c r="BM116" s="559"/>
      <c r="BN116" s="559"/>
      <c r="BO116" s="559"/>
      <c r="BP116" s="559"/>
      <c r="BQ116" s="559"/>
      <c r="BR116" s="559"/>
      <c r="BS116" s="559"/>
      <c r="BT116" s="559"/>
      <c r="BU116" s="559"/>
      <c r="BV116" s="560"/>
      <c r="BW116" s="560"/>
      <c r="BX116" s="560"/>
      <c r="BY116" s="560"/>
      <c r="BZ116" s="560"/>
      <c r="CA116" s="560"/>
      <c r="CB116" s="560"/>
      <c r="CC116" s="560"/>
      <c r="CD116" s="560"/>
      <c r="CE116" s="560"/>
    </row>
    <row r="117" spans="1:83" s="2021" customFormat="1" ht="15" customHeight="1">
      <c r="A117" s="557"/>
      <c r="B117" s="558"/>
      <c r="C117" s="558"/>
      <c r="D117" s="3444"/>
      <c r="E117" s="3290" t="s">
        <v>598</v>
      </c>
      <c r="F117" s="3291"/>
      <c r="G117" s="3292"/>
      <c r="H117" s="3296" t="str">
        <f>IF(A115="","",INDEX(DIFFERENTIATION_UNMERGE_SYSTEM,MATCH(A115,DIFFERENTIATION_ID_DIFF,0)))</f>
        <v/>
      </c>
      <c r="I117" s="3296"/>
      <c r="J117" s="3296"/>
      <c r="K117" s="3296"/>
      <c r="L117" s="3296"/>
      <c r="M117" s="3296"/>
      <c r="N117" s="3296"/>
      <c r="O117" s="3296"/>
      <c r="P117" s="3296"/>
      <c r="Q117" s="3296"/>
      <c r="R117" s="3296"/>
      <c r="S117" s="653"/>
      <c r="T117" s="650"/>
      <c r="U117" s="559"/>
      <c r="V117" s="559"/>
      <c r="W117" s="560"/>
      <c r="X117" s="560"/>
      <c r="Y117" s="560"/>
      <c r="Z117" s="560"/>
      <c r="AA117" s="561"/>
      <c r="AB117" s="562"/>
      <c r="AC117" s="3288"/>
      <c r="AD117" s="563"/>
      <c r="AE117" s="564"/>
      <c r="AF117" s="564"/>
      <c r="AG117" s="565"/>
      <c r="AH117" s="566"/>
      <c r="AI117" s="559"/>
      <c r="AJ117" s="559"/>
      <c r="AK117" s="559"/>
      <c r="AL117" s="559"/>
      <c r="AM117" s="559"/>
      <c r="AN117" s="559"/>
      <c r="AO117" s="559"/>
      <c r="AP117" s="559"/>
      <c r="AQ117" s="559"/>
      <c r="AR117" s="559"/>
      <c r="AS117" s="559"/>
      <c r="AT117" s="559"/>
      <c r="AU117" s="559"/>
      <c r="AV117" s="559"/>
      <c r="AW117" s="559"/>
      <c r="AX117" s="559"/>
      <c r="AY117" s="559"/>
      <c r="AZ117" s="559"/>
      <c r="BA117" s="559"/>
      <c r="BB117" s="559"/>
      <c r="BC117" s="559"/>
      <c r="BD117" s="559"/>
      <c r="BE117" s="559"/>
      <c r="BF117" s="559"/>
      <c r="BG117" s="559"/>
      <c r="BH117" s="559"/>
      <c r="BI117" s="559"/>
      <c r="BJ117" s="559"/>
      <c r="BK117" s="559"/>
      <c r="BL117" s="559"/>
      <c r="BM117" s="559"/>
      <c r="BN117" s="559"/>
      <c r="BO117" s="559"/>
      <c r="BP117" s="559"/>
      <c r="BQ117" s="559"/>
      <c r="BR117" s="559"/>
      <c r="BS117" s="559"/>
      <c r="BT117" s="559"/>
      <c r="BU117" s="559"/>
      <c r="BV117" s="560"/>
      <c r="BW117" s="560"/>
      <c r="BX117" s="560"/>
      <c r="BY117" s="560"/>
      <c r="BZ117" s="560"/>
      <c r="CA117" s="560"/>
      <c r="CB117" s="560"/>
      <c r="CC117" s="560"/>
      <c r="CD117" s="560"/>
      <c r="CE117" s="560"/>
    </row>
    <row r="118" spans="1:83" s="2021" customFormat="1" ht="24.75" customHeight="1">
      <c r="A118" s="1722"/>
      <c r="B118" s="1077"/>
      <c r="C118" s="346"/>
      <c r="D118" s="3444"/>
      <c r="E118" s="3289" t="s">
        <v>643</v>
      </c>
      <c r="F118" s="3289"/>
      <c r="G118" s="3289"/>
      <c r="H118" s="3289"/>
      <c r="I118" s="3289"/>
      <c r="J118" s="3289"/>
      <c r="K118" s="3289"/>
      <c r="L118" s="3289"/>
      <c r="M118" s="3289"/>
      <c r="N118" s="3289"/>
      <c r="O118" s="3289"/>
      <c r="P118" s="3289"/>
      <c r="Q118" s="492">
        <f>SUMIF(T119:T120,"i",Q119:Q120)</f>
        <v>0</v>
      </c>
      <c r="R118" s="938"/>
      <c r="S118" s="1714" t="s">
        <v>644</v>
      </c>
      <c r="T118" s="651" t="s">
        <v>645</v>
      </c>
      <c r="U118" s="3198">
        <v>1</v>
      </c>
      <c r="V118" s="3198" t="s">
        <v>608</v>
      </c>
      <c r="W118" s="1077"/>
      <c r="X118" s="1077"/>
      <c r="Y118" s="1077"/>
      <c r="Z118" s="1077"/>
      <c r="AA118" s="1553"/>
      <c r="AB118" s="1077"/>
      <c r="AC118" s="3288"/>
      <c r="AD118" s="563"/>
      <c r="AE118" s="1077"/>
      <c r="AF118" s="1077"/>
      <c r="AG118" s="1553"/>
      <c r="AH118" s="1553"/>
      <c r="AI118" s="1553"/>
      <c r="AJ118" s="1553"/>
      <c r="AK118" s="1553"/>
      <c r="AL118" s="1553"/>
      <c r="AM118" s="1553"/>
      <c r="AN118" s="1553"/>
      <c r="AO118" s="1553"/>
      <c r="AP118" s="1553"/>
      <c r="AQ118" s="1553"/>
      <c r="AR118" s="1553"/>
      <c r="AS118" s="1553"/>
      <c r="AT118" s="1553"/>
      <c r="AU118" s="1553"/>
      <c r="AV118" s="1553"/>
      <c r="AW118" s="1553"/>
      <c r="AX118" s="1553"/>
      <c r="AY118" s="1553"/>
      <c r="AZ118" s="1553"/>
      <c r="BA118" s="1553"/>
      <c r="BB118" s="1553"/>
      <c r="BC118" s="1553"/>
      <c r="BD118" s="1553"/>
      <c r="BE118" s="1553"/>
      <c r="BF118" s="1553"/>
      <c r="BG118" s="1553"/>
      <c r="BH118" s="1553"/>
      <c r="BI118" s="1553"/>
      <c r="BJ118" s="1553"/>
      <c r="BK118" s="1553"/>
      <c r="BL118" s="1553"/>
      <c r="BM118" s="1553"/>
      <c r="BN118" s="1553"/>
      <c r="BO118" s="1553"/>
      <c r="BP118" s="1553"/>
      <c r="BQ118" s="1553"/>
      <c r="BR118" s="1553"/>
      <c r="BS118" s="1553"/>
      <c r="BT118" s="1553"/>
      <c r="BU118" s="1553"/>
      <c r="BV118" s="1077"/>
      <c r="BW118" s="1077"/>
      <c r="BX118" s="1077"/>
      <c r="BY118" s="1077"/>
      <c r="BZ118" s="1077"/>
      <c r="CA118" s="1077"/>
      <c r="CB118" s="1077"/>
      <c r="CC118" s="1077"/>
      <c r="CD118" s="1077"/>
      <c r="CE118" s="1077"/>
    </row>
    <row r="119" spans="1:83" s="2021" customFormat="1" ht="11.25" hidden="1" customHeight="1">
      <c r="A119" s="1709"/>
      <c r="B119" s="1553"/>
      <c r="C119" s="1553"/>
      <c r="D119" s="3444"/>
      <c r="E119" s="569"/>
      <c r="F119" s="569">
        <v>0</v>
      </c>
      <c r="G119" s="569"/>
      <c r="H119" s="569"/>
      <c r="I119" s="569"/>
      <c r="J119" s="569"/>
      <c r="K119" s="569"/>
      <c r="L119" s="569"/>
      <c r="M119" s="569"/>
      <c r="N119" s="569"/>
      <c r="O119" s="569"/>
      <c r="P119" s="569"/>
      <c r="Q119" s="569"/>
      <c r="R119" s="569"/>
      <c r="S119" s="570"/>
      <c r="T119" s="652"/>
      <c r="U119" s="3198"/>
      <c r="V119" s="3198"/>
      <c r="W119" s="1553"/>
      <c r="X119" s="1553"/>
      <c r="Y119" s="1553"/>
      <c r="Z119" s="1553"/>
      <c r="AA119" s="1553"/>
      <c r="AB119" s="1077"/>
      <c r="AC119" s="3288"/>
      <c r="AD119" s="563"/>
      <c r="AE119" s="1077"/>
      <c r="AF119" s="1077"/>
      <c r="AG119" s="1553"/>
      <c r="AH119" s="1553"/>
      <c r="AI119" s="1553"/>
      <c r="AJ119" s="1553"/>
      <c r="AK119" s="1553"/>
      <c r="AL119" s="1553"/>
      <c r="AM119" s="1553"/>
      <c r="AN119" s="1553"/>
      <c r="AO119" s="1553"/>
      <c r="AP119" s="1553"/>
      <c r="AQ119" s="1553"/>
      <c r="AR119" s="1553"/>
      <c r="AS119" s="1553"/>
      <c r="AT119" s="1553"/>
      <c r="AU119" s="1553"/>
      <c r="AV119" s="1553"/>
      <c r="AW119" s="1553"/>
      <c r="AX119" s="1553"/>
      <c r="AY119" s="1553"/>
      <c r="AZ119" s="1553"/>
      <c r="BA119" s="1553"/>
      <c r="BB119" s="1553"/>
      <c r="BC119" s="1553"/>
      <c r="BD119" s="1553"/>
      <c r="BE119" s="1553"/>
      <c r="BF119" s="1553"/>
      <c r="BG119" s="1553"/>
      <c r="BH119" s="1553"/>
      <c r="BI119" s="1553"/>
      <c r="BJ119" s="1553"/>
      <c r="BK119" s="1553"/>
      <c r="BL119" s="1553"/>
      <c r="BM119" s="1553"/>
      <c r="BN119" s="1553"/>
      <c r="BO119" s="1553"/>
      <c r="BP119" s="1553"/>
      <c r="BQ119" s="1553"/>
      <c r="BR119" s="1553"/>
      <c r="BS119" s="1553"/>
      <c r="BT119" s="1553"/>
      <c r="BU119" s="1553"/>
      <c r="BV119" s="1553"/>
      <c r="BW119" s="1553"/>
      <c r="BX119" s="1553"/>
      <c r="BY119" s="1553"/>
      <c r="BZ119" s="1553"/>
      <c r="CA119" s="1553"/>
      <c r="CB119" s="1553"/>
      <c r="CC119" s="1553"/>
      <c r="CD119" s="1553"/>
      <c r="CE119" s="1553"/>
    </row>
    <row r="120" spans="1:83" s="2021" customFormat="1" ht="11.25" customHeight="1">
      <c r="A120" s="1722"/>
      <c r="B120" s="1077"/>
      <c r="C120" s="346"/>
      <c r="D120" s="3444"/>
      <c r="E120" s="583" t="s">
        <v>28</v>
      </c>
      <c r="F120" s="1085" t="s">
        <v>28</v>
      </c>
      <c r="G120" s="1085" t="s">
        <v>1965</v>
      </c>
      <c r="H120" s="585" t="s">
        <v>28</v>
      </c>
      <c r="I120" s="585"/>
      <c r="J120" s="585"/>
      <c r="K120" s="585"/>
      <c r="L120" s="585"/>
      <c r="M120" s="585"/>
      <c r="N120" s="585"/>
      <c r="O120" s="585"/>
      <c r="P120" s="585"/>
      <c r="Q120" s="585"/>
      <c r="R120" s="586"/>
      <c r="S120" s="587"/>
      <c r="T120" s="652"/>
      <c r="U120" s="3198"/>
      <c r="V120" s="3198"/>
      <c r="W120" s="1077"/>
      <c r="X120" s="1077"/>
      <c r="Y120" s="1077"/>
      <c r="Z120" s="1077"/>
      <c r="AA120" s="1553"/>
      <c r="AB120" s="1077"/>
      <c r="AC120" s="3288"/>
      <c r="AD120" s="563"/>
      <c r="AE120" s="1077"/>
      <c r="AF120" s="1077"/>
      <c r="AG120" s="1553"/>
      <c r="AH120" s="1553"/>
      <c r="AI120" s="1553"/>
      <c r="AJ120" s="1553"/>
      <c r="AK120" s="1553"/>
      <c r="AL120" s="1553"/>
      <c r="AM120" s="1553"/>
      <c r="AN120" s="1553"/>
      <c r="AO120" s="1553"/>
      <c r="AP120" s="1553"/>
      <c r="AQ120" s="1553"/>
      <c r="AR120" s="1553"/>
      <c r="AS120" s="1553"/>
      <c r="AT120" s="1553"/>
      <c r="AU120" s="1553"/>
      <c r="AV120" s="1553"/>
      <c r="AW120" s="1553"/>
      <c r="AX120" s="1553"/>
      <c r="AY120" s="1553"/>
      <c r="AZ120" s="1553"/>
      <c r="BA120" s="1553"/>
      <c r="BB120" s="1553"/>
      <c r="BC120" s="1553"/>
      <c r="BD120" s="1553"/>
      <c r="BE120" s="1553"/>
      <c r="BF120" s="1553"/>
      <c r="BG120" s="1553"/>
      <c r="BH120" s="1553"/>
      <c r="BI120" s="1553"/>
      <c r="BJ120" s="1553"/>
      <c r="BK120" s="1553"/>
      <c r="BL120" s="1553"/>
      <c r="BM120" s="1553"/>
      <c r="BN120" s="1553"/>
      <c r="BO120" s="1553"/>
      <c r="BP120" s="1553"/>
      <c r="BQ120" s="1553"/>
      <c r="BR120" s="1553"/>
      <c r="BS120" s="1553"/>
      <c r="BT120" s="1553"/>
      <c r="BU120" s="1553"/>
      <c r="BV120" s="1077"/>
      <c r="BW120" s="1077"/>
      <c r="BX120" s="1077"/>
      <c r="BY120" s="1077"/>
      <c r="BZ120" s="1077"/>
      <c r="CA120" s="1077"/>
      <c r="CB120" s="1077"/>
      <c r="CC120" s="1077"/>
      <c r="CD120" s="1077"/>
      <c r="CE120" s="1077"/>
    </row>
    <row r="121" spans="1:83" s="2021" customFormat="1" ht="24.75" customHeight="1">
      <c r="A121" s="1722"/>
      <c r="B121" s="1077"/>
      <c r="C121" s="346"/>
      <c r="D121" s="3444"/>
      <c r="E121" s="3289" t="s">
        <v>646</v>
      </c>
      <c r="F121" s="3289"/>
      <c r="G121" s="3289"/>
      <c r="H121" s="3289"/>
      <c r="I121" s="3289"/>
      <c r="J121" s="3289"/>
      <c r="K121" s="3289"/>
      <c r="L121" s="3289"/>
      <c r="M121" s="3289"/>
      <c r="N121" s="3289"/>
      <c r="O121" s="3289"/>
      <c r="P121" s="3289"/>
      <c r="Q121" s="492">
        <f>SUMIF(T122:T123,"i",Q122:Q123)</f>
        <v>0</v>
      </c>
      <c r="R121" s="938"/>
      <c r="S121" s="1714" t="s">
        <v>647</v>
      </c>
      <c r="T121" s="651" t="s">
        <v>645</v>
      </c>
      <c r="U121" s="3198">
        <v>1</v>
      </c>
      <c r="V121" s="3198" t="s">
        <v>608</v>
      </c>
      <c r="W121" s="1077"/>
      <c r="X121" s="1077"/>
      <c r="Y121" s="1077"/>
      <c r="Z121" s="1077"/>
      <c r="AA121" s="1553"/>
      <c r="AB121" s="1077"/>
      <c r="AC121" s="1712"/>
      <c r="AD121" s="563"/>
      <c r="AE121" s="1077"/>
      <c r="AF121" s="1077"/>
      <c r="AG121" s="1553"/>
      <c r="AH121" s="1553"/>
      <c r="AI121" s="1553"/>
      <c r="AJ121" s="1553"/>
      <c r="AK121" s="1553"/>
      <c r="AL121" s="1553"/>
      <c r="AM121" s="1553"/>
      <c r="AN121" s="1553"/>
      <c r="AO121" s="1553"/>
      <c r="AP121" s="1553"/>
      <c r="AQ121" s="1553"/>
      <c r="AR121" s="1553"/>
      <c r="AS121" s="1553"/>
      <c r="AT121" s="1553"/>
      <c r="AU121" s="1553"/>
      <c r="AV121" s="1553"/>
      <c r="AW121" s="1553"/>
      <c r="AX121" s="1553"/>
      <c r="AY121" s="1553"/>
      <c r="AZ121" s="1553"/>
      <c r="BA121" s="1553"/>
      <c r="BB121" s="1553"/>
      <c r="BC121" s="1553"/>
      <c r="BD121" s="1553"/>
      <c r="BE121" s="1553"/>
      <c r="BF121" s="1553"/>
      <c r="BG121" s="1553"/>
      <c r="BH121" s="1553"/>
      <c r="BI121" s="1553"/>
      <c r="BJ121" s="1553"/>
      <c r="BK121" s="1553"/>
      <c r="BL121" s="1553"/>
      <c r="BM121" s="1553"/>
      <c r="BN121" s="1553"/>
      <c r="BO121" s="1553"/>
      <c r="BP121" s="1553"/>
      <c r="BQ121" s="1553"/>
      <c r="BR121" s="1553"/>
      <c r="BS121" s="1553"/>
      <c r="BT121" s="1553"/>
      <c r="BU121" s="1553"/>
      <c r="BV121" s="1077"/>
      <c r="BW121" s="1077"/>
      <c r="BX121" s="1077"/>
      <c r="BY121" s="1077"/>
      <c r="BZ121" s="1077"/>
      <c r="CA121" s="1077"/>
      <c r="CB121" s="1077"/>
      <c r="CC121" s="1077"/>
      <c r="CD121" s="1077"/>
      <c r="CE121" s="1077"/>
    </row>
    <row r="122" spans="1:83" s="2021" customFormat="1" ht="11.25" hidden="1" customHeight="1">
      <c r="A122" s="1709"/>
      <c r="B122" s="1553"/>
      <c r="C122" s="1553"/>
      <c r="D122" s="3444"/>
      <c r="E122" s="569"/>
      <c r="F122" s="569">
        <v>0</v>
      </c>
      <c r="G122" s="569"/>
      <c r="H122" s="569"/>
      <c r="I122" s="569"/>
      <c r="J122" s="569"/>
      <c r="K122" s="569"/>
      <c r="L122" s="569"/>
      <c r="M122" s="569"/>
      <c r="N122" s="569"/>
      <c r="O122" s="569"/>
      <c r="P122" s="569"/>
      <c r="Q122" s="569"/>
      <c r="R122" s="569"/>
      <c r="S122" s="570"/>
      <c r="T122" s="652"/>
      <c r="U122" s="3198"/>
      <c r="V122" s="3198"/>
      <c r="W122" s="1553"/>
      <c r="X122" s="1553"/>
      <c r="Y122" s="1553"/>
      <c r="Z122" s="1553"/>
      <c r="AA122" s="1553"/>
      <c r="AB122" s="1077"/>
      <c r="AC122" s="1712"/>
      <c r="AD122" s="563"/>
      <c r="AE122" s="1077"/>
      <c r="AF122" s="1077"/>
      <c r="AG122" s="1553"/>
      <c r="AH122" s="1553"/>
      <c r="AI122" s="1553"/>
      <c r="AJ122" s="1553"/>
      <c r="AK122" s="1553"/>
      <c r="AL122" s="1553"/>
      <c r="AM122" s="1553"/>
      <c r="AN122" s="1553"/>
      <c r="AO122" s="1553"/>
      <c r="AP122" s="1553"/>
      <c r="AQ122" s="1553"/>
      <c r="AR122" s="1553"/>
      <c r="AS122" s="1553"/>
      <c r="AT122" s="1553"/>
      <c r="AU122" s="1553"/>
      <c r="AV122" s="1553"/>
      <c r="AW122" s="1553"/>
      <c r="AX122" s="1553"/>
      <c r="AY122" s="1553"/>
      <c r="AZ122" s="1553"/>
      <c r="BA122" s="1553"/>
      <c r="BB122" s="1553"/>
      <c r="BC122" s="1553"/>
      <c r="BD122" s="1553"/>
      <c r="BE122" s="1553"/>
      <c r="BF122" s="1553"/>
      <c r="BG122" s="1553"/>
      <c r="BH122" s="1553"/>
      <c r="BI122" s="1553"/>
      <c r="BJ122" s="1553"/>
      <c r="BK122" s="1553"/>
      <c r="BL122" s="1553"/>
      <c r="BM122" s="1553"/>
      <c r="BN122" s="1553"/>
      <c r="BO122" s="1553"/>
      <c r="BP122" s="1553"/>
      <c r="BQ122" s="1553"/>
      <c r="BR122" s="1553"/>
      <c r="BS122" s="1553"/>
      <c r="BT122" s="1553"/>
      <c r="BU122" s="1553"/>
      <c r="BV122" s="1553"/>
      <c r="BW122" s="1553"/>
      <c r="BX122" s="1553"/>
      <c r="BY122" s="1553"/>
      <c r="BZ122" s="1553"/>
      <c r="CA122" s="1553"/>
      <c r="CB122" s="1553"/>
      <c r="CC122" s="1553"/>
      <c r="CD122" s="1553"/>
      <c r="CE122" s="1553"/>
    </row>
    <row r="123" spans="1:83" s="2021" customFormat="1" ht="11.25" customHeight="1">
      <c r="A123" s="1722"/>
      <c r="B123" s="1077"/>
      <c r="C123" s="346"/>
      <c r="D123" s="3445"/>
      <c r="E123" s="583" t="s">
        <v>28</v>
      </c>
      <c r="F123" s="1085" t="s">
        <v>28</v>
      </c>
      <c r="G123" s="1085" t="s">
        <v>1965</v>
      </c>
      <c r="H123" s="585" t="s">
        <v>28</v>
      </c>
      <c r="I123" s="585"/>
      <c r="J123" s="585"/>
      <c r="K123" s="585"/>
      <c r="L123" s="585"/>
      <c r="M123" s="585"/>
      <c r="N123" s="585"/>
      <c r="O123" s="585"/>
      <c r="P123" s="585"/>
      <c r="Q123" s="585"/>
      <c r="R123" s="586"/>
      <c r="S123" s="587"/>
      <c r="T123" s="652"/>
      <c r="U123" s="3198"/>
      <c r="V123" s="3198"/>
      <c r="W123" s="1077"/>
      <c r="X123" s="1077"/>
      <c r="Y123" s="1077"/>
      <c r="Z123" s="1077"/>
      <c r="AA123" s="1553"/>
      <c r="AB123" s="1077"/>
      <c r="AC123" s="1712"/>
      <c r="AD123" s="563"/>
      <c r="AE123" s="1077"/>
      <c r="AF123" s="1077"/>
      <c r="AG123" s="1553"/>
      <c r="AH123" s="1553"/>
      <c r="AI123" s="1553"/>
      <c r="AJ123" s="1553"/>
      <c r="AK123" s="1553"/>
      <c r="AL123" s="1553"/>
      <c r="AM123" s="1553"/>
      <c r="AN123" s="1553"/>
      <c r="AO123" s="1553"/>
      <c r="AP123" s="1553"/>
      <c r="AQ123" s="1553"/>
      <c r="AR123" s="1553"/>
      <c r="AS123" s="1553"/>
      <c r="AT123" s="1553"/>
      <c r="AU123" s="1553"/>
      <c r="AV123" s="1553"/>
      <c r="AW123" s="1553"/>
      <c r="AX123" s="1553"/>
      <c r="AY123" s="1553"/>
      <c r="AZ123" s="1553"/>
      <c r="BA123" s="1553"/>
      <c r="BB123" s="1553"/>
      <c r="BC123" s="1553"/>
      <c r="BD123" s="1553"/>
      <c r="BE123" s="1553"/>
      <c r="BF123" s="1553"/>
      <c r="BG123" s="1553"/>
      <c r="BH123" s="1553"/>
      <c r="BI123" s="1553"/>
      <c r="BJ123" s="1553"/>
      <c r="BK123" s="1553"/>
      <c r="BL123" s="1553"/>
      <c r="BM123" s="1553"/>
      <c r="BN123" s="1553"/>
      <c r="BO123" s="1553"/>
      <c r="BP123" s="1553"/>
      <c r="BQ123" s="1553"/>
      <c r="BR123" s="1553"/>
      <c r="BS123" s="1553"/>
      <c r="BT123" s="1553"/>
      <c r="BU123" s="1553"/>
      <c r="BV123" s="1077"/>
      <c r="BW123" s="1077"/>
      <c r="BX123" s="1077"/>
      <c r="BY123" s="1077"/>
      <c r="BZ123" s="1077"/>
      <c r="CA123" s="1077"/>
      <c r="CB123" s="1077"/>
      <c r="CC123" s="1077"/>
      <c r="CD123" s="1077"/>
      <c r="CE123" s="1077"/>
    </row>
    <row r="125" spans="1:83" s="3007" customFormat="1" ht="11.25" customHeight="1">
      <c r="A125" s="1731" t="s">
        <v>1966</v>
      </c>
    </row>
    <row r="127" spans="1:83" s="2021" customFormat="1" ht="15" customHeight="1">
      <c r="A127" s="557"/>
      <c r="B127" s="558"/>
      <c r="C127" s="558"/>
      <c r="D127" s="3443" t="s">
        <v>124</v>
      </c>
      <c r="E127" s="3290" t="s">
        <v>120</v>
      </c>
      <c r="F127" s="3291"/>
      <c r="G127" s="3292"/>
      <c r="H127" s="3296" t="str">
        <f>IF(A127="","",INDEX(DIFFERENTIATION_UNMERGE_VD,MATCH(A127,DIFFERENTIATION_ID_DIFF,0)))</f>
        <v/>
      </c>
      <c r="I127" s="3296"/>
      <c r="J127" s="3296"/>
      <c r="K127" s="3296"/>
      <c r="L127" s="3296"/>
      <c r="M127" s="3296"/>
      <c r="N127" s="3296"/>
      <c r="O127" s="3296"/>
      <c r="P127" s="3296"/>
      <c r="Q127" s="3296"/>
      <c r="R127" s="3296"/>
      <c r="S127" s="653"/>
      <c r="T127" s="650"/>
      <c r="U127" s="559"/>
      <c r="V127" s="559"/>
      <c r="W127" s="560"/>
      <c r="X127" s="560"/>
      <c r="Y127" s="560"/>
      <c r="Z127" s="560"/>
      <c r="AA127" s="561"/>
      <c r="AB127" s="562"/>
      <c r="AC127" s="3288"/>
      <c r="AD127" s="563"/>
      <c r="AE127" s="564" t="s">
        <v>28</v>
      </c>
      <c r="AF127" s="564"/>
      <c r="AG127" s="565" t="s">
        <v>642</v>
      </c>
      <c r="AH127" s="566">
        <v>3</v>
      </c>
      <c r="AI127" s="559"/>
      <c r="AJ127" s="559"/>
      <c r="AK127" s="559"/>
      <c r="AL127" s="559"/>
      <c r="AM127" s="559"/>
      <c r="AN127" s="559"/>
      <c r="AO127" s="559"/>
      <c r="AP127" s="559"/>
      <c r="AQ127" s="559"/>
      <c r="AR127" s="559"/>
      <c r="AS127" s="559"/>
      <c r="AT127" s="559"/>
      <c r="AU127" s="559"/>
      <c r="AV127" s="559"/>
      <c r="AW127" s="559"/>
      <c r="AX127" s="559"/>
      <c r="AY127" s="559"/>
      <c r="AZ127" s="559"/>
      <c r="BA127" s="559"/>
      <c r="BB127" s="559"/>
      <c r="BC127" s="559"/>
      <c r="BD127" s="559"/>
      <c r="BE127" s="559"/>
      <c r="BF127" s="559"/>
      <c r="BG127" s="559"/>
      <c r="BH127" s="559"/>
      <c r="BI127" s="559"/>
      <c r="BJ127" s="559"/>
      <c r="BK127" s="559"/>
      <c r="BL127" s="559"/>
      <c r="BM127" s="559"/>
      <c r="BN127" s="559"/>
      <c r="BO127" s="559"/>
      <c r="BP127" s="559"/>
      <c r="BQ127" s="559"/>
      <c r="BR127" s="559"/>
      <c r="BS127" s="559"/>
      <c r="BT127" s="559"/>
      <c r="BU127" s="559"/>
      <c r="BV127" s="560"/>
      <c r="BW127" s="560"/>
      <c r="BX127" s="560"/>
      <c r="BY127" s="560"/>
      <c r="BZ127" s="560"/>
      <c r="CA127" s="560"/>
      <c r="CB127" s="560"/>
      <c r="CC127" s="560"/>
      <c r="CD127" s="560"/>
      <c r="CE127" s="560"/>
    </row>
    <row r="128" spans="1:83" s="2021" customFormat="1" ht="15" customHeight="1">
      <c r="A128" s="557"/>
      <c r="B128" s="558"/>
      <c r="C128" s="558"/>
      <c r="D128" s="3444"/>
      <c r="E128" s="3290" t="s">
        <v>597</v>
      </c>
      <c r="F128" s="3291"/>
      <c r="G128" s="3292"/>
      <c r="H128" s="3296" t="str">
        <f>IF(A127="","",INDEX(DIFFERENTIATION_UNMERGE_AREA,MATCH(A127,DIFFERENTIATION_ID_DIFF,0)))</f>
        <v/>
      </c>
      <c r="I128" s="3296"/>
      <c r="J128" s="3296"/>
      <c r="K128" s="3296"/>
      <c r="L128" s="3296"/>
      <c r="M128" s="3296"/>
      <c r="N128" s="3296"/>
      <c r="O128" s="3296"/>
      <c r="P128" s="3296"/>
      <c r="Q128" s="3296"/>
      <c r="R128" s="3296"/>
      <c r="S128" s="653"/>
      <c r="T128" s="650"/>
      <c r="U128" s="559"/>
      <c r="V128" s="559"/>
      <c r="W128" s="560"/>
      <c r="X128" s="560"/>
      <c r="Y128" s="560"/>
      <c r="Z128" s="560"/>
      <c r="AA128" s="561"/>
      <c r="AB128" s="562"/>
      <c r="AC128" s="3288"/>
      <c r="AD128" s="563"/>
      <c r="AE128" s="564"/>
      <c r="AF128" s="564"/>
      <c r="AG128" s="565"/>
      <c r="AH128" s="566"/>
      <c r="AI128" s="559"/>
      <c r="AJ128" s="559"/>
      <c r="AK128" s="559"/>
      <c r="AL128" s="559"/>
      <c r="AM128" s="559"/>
      <c r="AN128" s="559"/>
      <c r="AO128" s="559"/>
      <c r="AP128" s="559"/>
      <c r="AQ128" s="559"/>
      <c r="AR128" s="559"/>
      <c r="AS128" s="559"/>
      <c r="AT128" s="559"/>
      <c r="AU128" s="559"/>
      <c r="AV128" s="559"/>
      <c r="AW128" s="559"/>
      <c r="AX128" s="559"/>
      <c r="AY128" s="559"/>
      <c r="AZ128" s="559"/>
      <c r="BA128" s="559"/>
      <c r="BB128" s="559"/>
      <c r="BC128" s="559"/>
      <c r="BD128" s="559"/>
      <c r="BE128" s="559"/>
      <c r="BF128" s="559"/>
      <c r="BG128" s="559"/>
      <c r="BH128" s="559"/>
      <c r="BI128" s="559"/>
      <c r="BJ128" s="559"/>
      <c r="BK128" s="559"/>
      <c r="BL128" s="559"/>
      <c r="BM128" s="559"/>
      <c r="BN128" s="559"/>
      <c r="BO128" s="559"/>
      <c r="BP128" s="559"/>
      <c r="BQ128" s="559"/>
      <c r="BR128" s="559"/>
      <c r="BS128" s="559"/>
      <c r="BT128" s="559"/>
      <c r="BU128" s="559"/>
      <c r="BV128" s="560"/>
      <c r="BW128" s="560"/>
      <c r="BX128" s="560"/>
      <c r="BY128" s="560"/>
      <c r="BZ128" s="560"/>
      <c r="CA128" s="560"/>
      <c r="CB128" s="560"/>
      <c r="CC128" s="560"/>
      <c r="CD128" s="560"/>
      <c r="CE128" s="560"/>
    </row>
    <row r="129" spans="1:83" s="2021" customFormat="1" ht="15" customHeight="1">
      <c r="A129" s="557"/>
      <c r="B129" s="558"/>
      <c r="C129" s="558"/>
      <c r="D129" s="3444"/>
      <c r="E129" s="3290" t="s">
        <v>598</v>
      </c>
      <c r="F129" s="3291"/>
      <c r="G129" s="3292"/>
      <c r="H129" s="3296" t="str">
        <f>IF(A127="","",INDEX(DIFFERENTIATION_UNMERGE_SYSTEM,MATCH(A127,DIFFERENTIATION_ID_DIFF,0)))</f>
        <v/>
      </c>
      <c r="I129" s="3296"/>
      <c r="J129" s="3296"/>
      <c r="K129" s="3296"/>
      <c r="L129" s="3296"/>
      <c r="M129" s="3296"/>
      <c r="N129" s="3296"/>
      <c r="O129" s="3296"/>
      <c r="P129" s="3296"/>
      <c r="Q129" s="3296"/>
      <c r="R129" s="3296"/>
      <c r="S129" s="653"/>
      <c r="T129" s="650"/>
      <c r="U129" s="559"/>
      <c r="V129" s="559"/>
      <c r="W129" s="560"/>
      <c r="X129" s="560"/>
      <c r="Y129" s="560"/>
      <c r="Z129" s="560"/>
      <c r="AA129" s="561"/>
      <c r="AB129" s="562"/>
      <c r="AC129" s="3288"/>
      <c r="AD129" s="563"/>
      <c r="AE129" s="564"/>
      <c r="AF129" s="564"/>
      <c r="AG129" s="565"/>
      <c r="AH129" s="566"/>
      <c r="AI129" s="559"/>
      <c r="AJ129" s="559"/>
      <c r="AK129" s="559"/>
      <c r="AL129" s="559"/>
      <c r="AM129" s="559"/>
      <c r="AN129" s="559"/>
      <c r="AO129" s="559"/>
      <c r="AP129" s="559"/>
      <c r="AQ129" s="559"/>
      <c r="AR129" s="559"/>
      <c r="AS129" s="559"/>
      <c r="AT129" s="559"/>
      <c r="AU129" s="559"/>
      <c r="AV129" s="559"/>
      <c r="AW129" s="559"/>
      <c r="AX129" s="559"/>
      <c r="AY129" s="559"/>
      <c r="AZ129" s="559"/>
      <c r="BA129" s="559"/>
      <c r="BB129" s="559"/>
      <c r="BC129" s="559"/>
      <c r="BD129" s="559"/>
      <c r="BE129" s="559"/>
      <c r="BF129" s="559"/>
      <c r="BG129" s="559"/>
      <c r="BH129" s="559"/>
      <c r="BI129" s="559"/>
      <c r="BJ129" s="559"/>
      <c r="BK129" s="559"/>
      <c r="BL129" s="559"/>
      <c r="BM129" s="559"/>
      <c r="BN129" s="559"/>
      <c r="BO129" s="559"/>
      <c r="BP129" s="559"/>
      <c r="BQ129" s="559"/>
      <c r="BR129" s="559"/>
      <c r="BS129" s="559"/>
      <c r="BT129" s="559"/>
      <c r="BU129" s="559"/>
      <c r="BV129" s="560"/>
      <c r="BW129" s="560"/>
      <c r="BX129" s="560"/>
      <c r="BY129" s="560"/>
      <c r="BZ129" s="560"/>
      <c r="CA129" s="560"/>
      <c r="CB129" s="560"/>
      <c r="CC129" s="560"/>
      <c r="CD129" s="560"/>
      <c r="CE129" s="560"/>
    </row>
    <row r="130" spans="1:83" s="2021" customFormat="1" ht="24.75" customHeight="1">
      <c r="A130" s="1722"/>
      <c r="B130" s="1077"/>
      <c r="C130" s="346"/>
      <c r="D130" s="3444"/>
      <c r="E130" s="3289" t="s">
        <v>643</v>
      </c>
      <c r="F130" s="3289"/>
      <c r="G130" s="3289"/>
      <c r="H130" s="3289"/>
      <c r="I130" s="3289"/>
      <c r="J130" s="3289"/>
      <c r="K130" s="3289"/>
      <c r="L130" s="3289"/>
      <c r="M130" s="3289"/>
      <c r="N130" s="3289"/>
      <c r="O130" s="3289"/>
      <c r="P130" s="3289"/>
      <c r="Q130" s="492">
        <f>SUMIF(T131:T132,"i",Q131:Q132)</f>
        <v>0</v>
      </c>
      <c r="R130" s="938"/>
      <c r="S130" s="1714" t="s">
        <v>644</v>
      </c>
      <c r="T130" s="651" t="s">
        <v>645</v>
      </c>
      <c r="U130" s="3198">
        <v>1</v>
      </c>
      <c r="V130" s="3198" t="s">
        <v>608</v>
      </c>
      <c r="W130" s="1077"/>
      <c r="X130" s="1077"/>
      <c r="Y130" s="1077"/>
      <c r="Z130" s="1077"/>
      <c r="AA130" s="1553"/>
      <c r="AB130" s="1077"/>
      <c r="AC130" s="3288"/>
      <c r="AD130" s="563"/>
      <c r="AE130" s="1077"/>
      <c r="AF130" s="1077"/>
      <c r="AG130" s="1553"/>
      <c r="AH130" s="1553"/>
      <c r="AI130" s="1553"/>
      <c r="AJ130" s="1553"/>
      <c r="AK130" s="1553"/>
      <c r="AL130" s="1553"/>
      <c r="AM130" s="1553"/>
      <c r="AN130" s="1553"/>
      <c r="AO130" s="1553"/>
      <c r="AP130" s="1553"/>
      <c r="AQ130" s="1553"/>
      <c r="AR130" s="1553"/>
      <c r="AS130" s="1553"/>
      <c r="AT130" s="1553"/>
      <c r="AU130" s="1553"/>
      <c r="AV130" s="1553"/>
      <c r="AW130" s="1553"/>
      <c r="AX130" s="1553"/>
      <c r="AY130" s="1553"/>
      <c r="AZ130" s="1553"/>
      <c r="BA130" s="1553"/>
      <c r="BB130" s="1553"/>
      <c r="BC130" s="1553"/>
      <c r="BD130" s="1553"/>
      <c r="BE130" s="1553"/>
      <c r="BF130" s="1553"/>
      <c r="BG130" s="1553"/>
      <c r="BH130" s="1553"/>
      <c r="BI130" s="1553"/>
      <c r="BJ130" s="1553"/>
      <c r="BK130" s="1553"/>
      <c r="BL130" s="1553"/>
      <c r="BM130" s="1553"/>
      <c r="BN130" s="1553"/>
      <c r="BO130" s="1553"/>
      <c r="BP130" s="1553"/>
      <c r="BQ130" s="1553"/>
      <c r="BR130" s="1553"/>
      <c r="BS130" s="1553"/>
      <c r="BT130" s="1553"/>
      <c r="BU130" s="1553"/>
      <c r="BV130" s="1077"/>
      <c r="BW130" s="1077"/>
      <c r="BX130" s="1077"/>
      <c r="BY130" s="1077"/>
      <c r="BZ130" s="1077"/>
      <c r="CA130" s="1077"/>
      <c r="CB130" s="1077"/>
      <c r="CC130" s="1077"/>
      <c r="CD130" s="1077"/>
      <c r="CE130" s="1077"/>
    </row>
    <row r="131" spans="1:83" s="2021" customFormat="1" ht="11.25" hidden="1" customHeight="1">
      <c r="A131" s="1709"/>
      <c r="B131" s="1553"/>
      <c r="C131" s="1553"/>
      <c r="D131" s="3444"/>
      <c r="E131" s="569"/>
      <c r="F131" s="569">
        <v>0</v>
      </c>
      <c r="G131" s="569"/>
      <c r="H131" s="569"/>
      <c r="I131" s="569"/>
      <c r="J131" s="569"/>
      <c r="K131" s="569"/>
      <c r="L131" s="569"/>
      <c r="M131" s="569"/>
      <c r="N131" s="569"/>
      <c r="O131" s="569"/>
      <c r="P131" s="569"/>
      <c r="Q131" s="569"/>
      <c r="R131" s="569"/>
      <c r="S131" s="570"/>
      <c r="T131" s="652"/>
      <c r="U131" s="3198"/>
      <c r="V131" s="3198"/>
      <c r="W131" s="1553"/>
      <c r="X131" s="1553"/>
      <c r="Y131" s="1553"/>
      <c r="Z131" s="1553"/>
      <c r="AA131" s="1553"/>
      <c r="AB131" s="1077"/>
      <c r="AC131" s="3288"/>
      <c r="AD131" s="563"/>
      <c r="AE131" s="1077"/>
      <c r="AF131" s="1077"/>
      <c r="AG131" s="1553"/>
      <c r="AH131" s="1553"/>
      <c r="AI131" s="1553"/>
      <c r="AJ131" s="1553"/>
      <c r="AK131" s="1553"/>
      <c r="AL131" s="1553"/>
      <c r="AM131" s="1553"/>
      <c r="AN131" s="1553"/>
      <c r="AO131" s="1553"/>
      <c r="AP131" s="1553"/>
      <c r="AQ131" s="1553"/>
      <c r="AR131" s="1553"/>
      <c r="AS131" s="1553"/>
      <c r="AT131" s="1553"/>
      <c r="AU131" s="1553"/>
      <c r="AV131" s="1553"/>
      <c r="AW131" s="1553"/>
      <c r="AX131" s="1553"/>
      <c r="AY131" s="1553"/>
      <c r="AZ131" s="1553"/>
      <c r="BA131" s="1553"/>
      <c r="BB131" s="1553"/>
      <c r="BC131" s="1553"/>
      <c r="BD131" s="1553"/>
      <c r="BE131" s="1553"/>
      <c r="BF131" s="1553"/>
      <c r="BG131" s="1553"/>
      <c r="BH131" s="1553"/>
      <c r="BI131" s="1553"/>
      <c r="BJ131" s="1553"/>
      <c r="BK131" s="1553"/>
      <c r="BL131" s="1553"/>
      <c r="BM131" s="1553"/>
      <c r="BN131" s="1553"/>
      <c r="BO131" s="1553"/>
      <c r="BP131" s="1553"/>
      <c r="BQ131" s="1553"/>
      <c r="BR131" s="1553"/>
      <c r="BS131" s="1553"/>
      <c r="BT131" s="1553"/>
      <c r="BU131" s="1553"/>
      <c r="BV131" s="1553"/>
      <c r="BW131" s="1553"/>
      <c r="BX131" s="1553"/>
      <c r="BY131" s="1553"/>
      <c r="BZ131" s="1553"/>
      <c r="CA131" s="1553"/>
      <c r="CB131" s="1553"/>
      <c r="CC131" s="1553"/>
      <c r="CD131" s="1553"/>
      <c r="CE131" s="1553"/>
    </row>
    <row r="132" spans="1:83" s="2021" customFormat="1" ht="11.25" customHeight="1">
      <c r="A132" s="1722"/>
      <c r="B132" s="1077"/>
      <c r="C132" s="346"/>
      <c r="D132" s="3444"/>
      <c r="E132" s="583" t="s">
        <v>28</v>
      </c>
      <c r="F132" s="1085" t="s">
        <v>28</v>
      </c>
      <c r="G132" s="1085" t="s">
        <v>1965</v>
      </c>
      <c r="H132" s="585" t="s">
        <v>28</v>
      </c>
      <c r="I132" s="585"/>
      <c r="J132" s="585"/>
      <c r="K132" s="585"/>
      <c r="L132" s="585"/>
      <c r="M132" s="585"/>
      <c r="N132" s="585"/>
      <c r="O132" s="585"/>
      <c r="P132" s="585"/>
      <c r="Q132" s="585"/>
      <c r="R132" s="586"/>
      <c r="S132" s="587"/>
      <c r="T132" s="652"/>
      <c r="U132" s="3198"/>
      <c r="V132" s="3198"/>
      <c r="W132" s="1077"/>
      <c r="X132" s="1077"/>
      <c r="Y132" s="1077"/>
      <c r="Z132" s="1077"/>
      <c r="AA132" s="1553"/>
      <c r="AB132" s="1077"/>
      <c r="AC132" s="3288"/>
      <c r="AD132" s="563"/>
      <c r="AE132" s="1077"/>
      <c r="AF132" s="1077"/>
      <c r="AG132" s="1553"/>
      <c r="AH132" s="1553"/>
      <c r="AI132" s="1553"/>
      <c r="AJ132" s="1553"/>
      <c r="AK132" s="1553"/>
      <c r="AL132" s="1553"/>
      <c r="AM132" s="1553"/>
      <c r="AN132" s="1553"/>
      <c r="AO132" s="1553"/>
      <c r="AP132" s="1553"/>
      <c r="AQ132" s="1553"/>
      <c r="AR132" s="1553"/>
      <c r="AS132" s="1553"/>
      <c r="AT132" s="1553"/>
      <c r="AU132" s="1553"/>
      <c r="AV132" s="1553"/>
      <c r="AW132" s="1553"/>
      <c r="AX132" s="1553"/>
      <c r="AY132" s="1553"/>
      <c r="AZ132" s="1553"/>
      <c r="BA132" s="1553"/>
      <c r="BB132" s="1553"/>
      <c r="BC132" s="1553"/>
      <c r="BD132" s="1553"/>
      <c r="BE132" s="1553"/>
      <c r="BF132" s="1553"/>
      <c r="BG132" s="1553"/>
      <c r="BH132" s="1553"/>
      <c r="BI132" s="1553"/>
      <c r="BJ132" s="1553"/>
      <c r="BK132" s="1553"/>
      <c r="BL132" s="1553"/>
      <c r="BM132" s="1553"/>
      <c r="BN132" s="1553"/>
      <c r="BO132" s="1553"/>
      <c r="BP132" s="1553"/>
      <c r="BQ132" s="1553"/>
      <c r="BR132" s="1553"/>
      <c r="BS132" s="1553"/>
      <c r="BT132" s="1553"/>
      <c r="BU132" s="1553"/>
      <c r="BV132" s="1077"/>
      <c r="BW132" s="1077"/>
      <c r="BX132" s="1077"/>
      <c r="BY132" s="1077"/>
      <c r="BZ132" s="1077"/>
      <c r="CA132" s="1077"/>
      <c r="CB132" s="1077"/>
      <c r="CC132" s="1077"/>
      <c r="CD132" s="1077"/>
      <c r="CE132" s="1077"/>
    </row>
    <row r="133" spans="1:83" s="2200" customFormat="1" ht="5.25" hidden="1" customHeight="1">
      <c r="A133" s="1709"/>
      <c r="B133" s="1553"/>
      <c r="C133" s="1553"/>
      <c r="D133" s="3444"/>
      <c r="E133" s="960"/>
      <c r="F133" s="960"/>
      <c r="G133" s="960"/>
      <c r="H133" s="960"/>
      <c r="I133" s="960"/>
      <c r="J133" s="960"/>
      <c r="K133" s="960"/>
      <c r="L133" s="960"/>
      <c r="M133" s="960"/>
      <c r="N133" s="960"/>
      <c r="O133" s="960"/>
      <c r="P133" s="960"/>
      <c r="Q133" s="961"/>
      <c r="R133" s="962"/>
      <c r="S133" s="963"/>
      <c r="T133" s="651" t="s">
        <v>645</v>
      </c>
      <c r="U133" s="3198">
        <v>1</v>
      </c>
      <c r="V133" s="3198" t="s">
        <v>608</v>
      </c>
      <c r="W133" s="1553"/>
      <c r="X133" s="1553"/>
      <c r="Y133" s="1553"/>
      <c r="Z133" s="1553"/>
      <c r="AA133" s="1553"/>
      <c r="AB133" s="1553"/>
      <c r="AC133" s="958"/>
      <c r="AD133" s="959"/>
      <c r="AE133" s="1553"/>
      <c r="AF133" s="1553"/>
      <c r="AG133" s="1553"/>
      <c r="AH133" s="1553"/>
      <c r="AI133" s="1553"/>
      <c r="AJ133" s="1553"/>
      <c r="AK133" s="1553"/>
      <c r="AL133" s="1553"/>
      <c r="AM133" s="1553"/>
      <c r="AN133" s="1553"/>
      <c r="AO133" s="1553"/>
      <c r="AP133" s="1553"/>
      <c r="AQ133" s="1553"/>
      <c r="AR133" s="1553"/>
      <c r="AS133" s="1553"/>
      <c r="AT133" s="1553"/>
      <c r="AU133" s="1553"/>
      <c r="AV133" s="1553"/>
      <c r="AW133" s="1553"/>
      <c r="AX133" s="1553"/>
      <c r="AY133" s="1553"/>
      <c r="AZ133" s="1553"/>
      <c r="BA133" s="1553"/>
      <c r="BB133" s="1553"/>
      <c r="BC133" s="1553"/>
      <c r="BD133" s="1553"/>
      <c r="BE133" s="1553"/>
      <c r="BF133" s="1553"/>
      <c r="BG133" s="1553"/>
      <c r="BH133" s="1553"/>
      <c r="BI133" s="1553"/>
      <c r="BJ133" s="1553"/>
      <c r="BK133" s="1553"/>
      <c r="BL133" s="1553"/>
      <c r="BM133" s="1553"/>
      <c r="BN133" s="1553"/>
      <c r="BO133" s="1553"/>
      <c r="BP133" s="1553"/>
      <c r="BQ133" s="1553"/>
      <c r="BR133" s="1553"/>
      <c r="BS133" s="1553"/>
      <c r="BT133" s="1553"/>
      <c r="BU133" s="1553"/>
      <c r="BV133" s="1553"/>
      <c r="BW133" s="1553"/>
      <c r="BX133" s="1553"/>
      <c r="BY133" s="1553"/>
      <c r="BZ133" s="1553"/>
      <c r="CA133" s="1553"/>
      <c r="CB133" s="1553"/>
      <c r="CC133" s="1553"/>
      <c r="CD133" s="1553"/>
      <c r="CE133" s="1553"/>
    </row>
    <row r="134" spans="1:83" s="2200" customFormat="1" ht="5.25" hidden="1" customHeight="1">
      <c r="A134" s="1709"/>
      <c r="B134" s="1553"/>
      <c r="C134" s="1553"/>
      <c r="D134" s="3444"/>
      <c r="E134" s="569"/>
      <c r="F134" s="569"/>
      <c r="G134" s="569"/>
      <c r="H134" s="569"/>
      <c r="I134" s="569"/>
      <c r="J134" s="569"/>
      <c r="K134" s="569"/>
      <c r="L134" s="569"/>
      <c r="M134" s="569"/>
      <c r="N134" s="569"/>
      <c r="O134" s="569"/>
      <c r="P134" s="569"/>
      <c r="Q134" s="569"/>
      <c r="R134" s="569"/>
      <c r="S134" s="570"/>
      <c r="T134" s="652"/>
      <c r="U134" s="3198"/>
      <c r="V134" s="3198"/>
      <c r="W134" s="1553"/>
      <c r="X134" s="1553"/>
      <c r="Y134" s="1553"/>
      <c r="Z134" s="1553"/>
      <c r="AA134" s="1553"/>
      <c r="AB134" s="1553"/>
      <c r="AC134" s="958"/>
      <c r="AD134" s="959"/>
      <c r="AE134" s="1553"/>
      <c r="AF134" s="1553"/>
      <c r="AG134" s="1553"/>
      <c r="AH134" s="1553"/>
      <c r="AI134" s="1553"/>
      <c r="AJ134" s="1553"/>
      <c r="AK134" s="1553"/>
      <c r="AL134" s="1553"/>
      <c r="AM134" s="1553"/>
      <c r="AN134" s="1553"/>
      <c r="AO134" s="1553"/>
      <c r="AP134" s="1553"/>
      <c r="AQ134" s="1553"/>
      <c r="AR134" s="1553"/>
      <c r="AS134" s="1553"/>
      <c r="AT134" s="1553"/>
      <c r="AU134" s="1553"/>
      <c r="AV134" s="1553"/>
      <c r="AW134" s="1553"/>
      <c r="AX134" s="1553"/>
      <c r="AY134" s="1553"/>
      <c r="AZ134" s="1553"/>
      <c r="BA134" s="1553"/>
      <c r="BB134" s="1553"/>
      <c r="BC134" s="1553"/>
      <c r="BD134" s="1553"/>
      <c r="BE134" s="1553"/>
      <c r="BF134" s="1553"/>
      <c r="BG134" s="1553"/>
      <c r="BH134" s="1553"/>
      <c r="BI134" s="1553"/>
      <c r="BJ134" s="1553"/>
      <c r="BK134" s="1553"/>
      <c r="BL134" s="1553"/>
      <c r="BM134" s="1553"/>
      <c r="BN134" s="1553"/>
      <c r="BO134" s="1553"/>
      <c r="BP134" s="1553"/>
      <c r="BQ134" s="1553"/>
      <c r="BR134" s="1553"/>
      <c r="BS134" s="1553"/>
      <c r="BT134" s="1553"/>
      <c r="BU134" s="1553"/>
      <c r="BV134" s="1553"/>
      <c r="BW134" s="1553"/>
      <c r="BX134" s="1553"/>
      <c r="BY134" s="1553"/>
      <c r="BZ134" s="1553"/>
      <c r="CA134" s="1553"/>
      <c r="CB134" s="1553"/>
      <c r="CC134" s="1553"/>
      <c r="CD134" s="1553"/>
      <c r="CE134" s="1553"/>
    </row>
    <row r="135" spans="1:83" s="2200" customFormat="1" ht="5.25" hidden="1" customHeight="1">
      <c r="A135" s="1709"/>
      <c r="B135" s="1553"/>
      <c r="C135" s="1553"/>
      <c r="D135" s="3445"/>
      <c r="E135" s="964"/>
      <c r="F135" s="965"/>
      <c r="G135" s="965"/>
      <c r="H135" s="966"/>
      <c r="I135" s="966"/>
      <c r="J135" s="966"/>
      <c r="K135" s="966"/>
      <c r="L135" s="966"/>
      <c r="M135" s="966"/>
      <c r="N135" s="966"/>
      <c r="O135" s="966"/>
      <c r="P135" s="966"/>
      <c r="Q135" s="966"/>
      <c r="R135" s="869"/>
      <c r="S135" s="967"/>
      <c r="T135" s="652"/>
      <c r="U135" s="3198"/>
      <c r="V135" s="3198"/>
      <c r="W135" s="1553"/>
      <c r="X135" s="1553"/>
      <c r="Y135" s="1553"/>
      <c r="Z135" s="1553"/>
      <c r="AA135" s="1553"/>
      <c r="AB135" s="1553"/>
      <c r="AC135" s="958"/>
      <c r="AD135" s="959"/>
      <c r="AE135" s="1553"/>
      <c r="AF135" s="1553"/>
      <c r="AG135" s="1553"/>
      <c r="AH135" s="1553"/>
      <c r="AI135" s="1553"/>
      <c r="AJ135" s="1553"/>
      <c r="AK135" s="1553"/>
      <c r="AL135" s="1553"/>
      <c r="AM135" s="1553"/>
      <c r="AN135" s="1553"/>
      <c r="AO135" s="1553"/>
      <c r="AP135" s="1553"/>
      <c r="AQ135" s="1553"/>
      <c r="AR135" s="1553"/>
      <c r="AS135" s="1553"/>
      <c r="AT135" s="1553"/>
      <c r="AU135" s="1553"/>
      <c r="AV135" s="1553"/>
      <c r="AW135" s="1553"/>
      <c r="AX135" s="1553"/>
      <c r="AY135" s="1553"/>
      <c r="AZ135" s="1553"/>
      <c r="BA135" s="1553"/>
      <c r="BB135" s="1553"/>
      <c r="BC135" s="1553"/>
      <c r="BD135" s="1553"/>
      <c r="BE135" s="1553"/>
      <c r="BF135" s="1553"/>
      <c r="BG135" s="1553"/>
      <c r="BH135" s="1553"/>
      <c r="BI135" s="1553"/>
      <c r="BJ135" s="1553"/>
      <c r="BK135" s="1553"/>
      <c r="BL135" s="1553"/>
      <c r="BM135" s="1553"/>
      <c r="BN135" s="1553"/>
      <c r="BO135" s="1553"/>
      <c r="BP135" s="1553"/>
      <c r="BQ135" s="1553"/>
      <c r="BR135" s="1553"/>
      <c r="BS135" s="1553"/>
      <c r="BT135" s="1553"/>
      <c r="BU135" s="1553"/>
      <c r="BV135" s="1553"/>
      <c r="BW135" s="1553"/>
      <c r="BX135" s="1553"/>
      <c r="BY135" s="1553"/>
      <c r="BZ135" s="1553"/>
      <c r="CA135" s="1553"/>
      <c r="CB135" s="1553"/>
      <c r="CC135" s="1553"/>
      <c r="CD135" s="1553"/>
      <c r="CE135" s="1553"/>
    </row>
    <row r="136" spans="1:83" ht="17.25" customHeight="1">
      <c r="D136" s="1750"/>
    </row>
    <row r="137" spans="1:83" s="3007" customFormat="1" ht="11.25" customHeight="1">
      <c r="A137" s="1731" t="s">
        <v>1967</v>
      </c>
    </row>
    <row r="139" spans="1:83" s="2021" customFormat="1" ht="45" customHeight="1">
      <c r="A139" s="1722"/>
      <c r="B139" s="1077"/>
      <c r="C139" s="346"/>
      <c r="D139" s="27"/>
      <c r="E139" s="3438"/>
      <c r="F139" s="3049" t="s">
        <v>124</v>
      </c>
      <c r="G139" s="3441" t="s">
        <v>28</v>
      </c>
      <c r="H139" s="224"/>
      <c r="I139" s="571" t="s">
        <v>124</v>
      </c>
      <c r="J139" s="1723" t="s">
        <v>1968</v>
      </c>
      <c r="K139" s="572" t="s">
        <v>579</v>
      </c>
      <c r="L139" s="3172" t="s">
        <v>579</v>
      </c>
      <c r="M139" s="3106"/>
      <c r="N139" s="572" t="s">
        <v>579</v>
      </c>
      <c r="O139" s="572" t="s">
        <v>579</v>
      </c>
      <c r="P139" s="572" t="s">
        <v>579</v>
      </c>
      <c r="Q139" s="573">
        <f>SUM(Q140:Q142)</f>
        <v>0</v>
      </c>
      <c r="R139" s="573">
        <f>IF(R136=0,0,(Q136/R136)*100)</f>
        <v>0</v>
      </c>
      <c r="S139" s="3134"/>
      <c r="T139" s="651" t="s">
        <v>645</v>
      </c>
      <c r="U139" s="27"/>
      <c r="V139" s="27"/>
      <c r="AC139" s="27"/>
    </row>
    <row r="140" spans="1:83" s="2021" customFormat="1" ht="11.25" customHeight="1">
      <c r="A140" s="1722"/>
      <c r="B140" s="1077"/>
      <c r="C140" s="346"/>
      <c r="D140" s="27"/>
      <c r="E140" s="3439"/>
      <c r="F140" s="3049"/>
      <c r="G140" s="3441"/>
      <c r="H140" s="3067"/>
      <c r="I140" s="3331" t="s">
        <v>1054</v>
      </c>
      <c r="J140" s="3436"/>
      <c r="K140" s="3437"/>
      <c r="L140" s="574"/>
      <c r="M140" s="575" t="s">
        <v>124</v>
      </c>
      <c r="N140" s="1711"/>
      <c r="O140" s="576"/>
      <c r="P140" s="577"/>
      <c r="Q140" s="576"/>
      <c r="R140" s="578">
        <v>0</v>
      </c>
      <c r="S140" s="3134"/>
      <c r="T140" s="651"/>
      <c r="U140" s="27"/>
      <c r="V140" s="27"/>
      <c r="AC140" s="27"/>
    </row>
    <row r="141" spans="1:83" s="2021" customFormat="1" ht="11.25" customHeight="1">
      <c r="A141" s="1722"/>
      <c r="B141" s="1077"/>
      <c r="C141" s="346"/>
      <c r="D141" s="27"/>
      <c r="E141" s="3439"/>
      <c r="F141" s="3049"/>
      <c r="G141" s="3441"/>
      <c r="H141" s="3067"/>
      <c r="I141" s="3331"/>
      <c r="J141" s="3436"/>
      <c r="K141" s="3390"/>
      <c r="L141" s="579"/>
      <c r="M141" s="580"/>
      <c r="N141" s="581" t="s">
        <v>1969</v>
      </c>
      <c r="O141" s="581"/>
      <c r="P141" s="581"/>
      <c r="Q141" s="581"/>
      <c r="R141" s="582"/>
      <c r="S141" s="3134"/>
      <c r="T141" s="651"/>
      <c r="U141" s="27"/>
      <c r="V141" s="27"/>
      <c r="AC141" s="27"/>
    </row>
    <row r="142" spans="1:83" s="2021" customFormat="1" ht="11.25" customHeight="1">
      <c r="A142" s="1722"/>
      <c r="B142" s="1077"/>
      <c r="C142" s="346"/>
      <c r="D142" s="27"/>
      <c r="E142" s="3440"/>
      <c r="F142" s="3049"/>
      <c r="G142" s="3442"/>
      <c r="H142" s="579" t="s">
        <v>28</v>
      </c>
      <c r="I142" s="580"/>
      <c r="J142" s="581" t="s">
        <v>1970</v>
      </c>
      <c r="K142" s="581"/>
      <c r="L142" s="581"/>
      <c r="M142" s="581"/>
      <c r="N142" s="581"/>
      <c r="O142" s="581"/>
      <c r="P142" s="581"/>
      <c r="Q142" s="581"/>
      <c r="R142" s="582"/>
      <c r="S142" s="3134"/>
      <c r="T142" s="651"/>
      <c r="U142" s="27"/>
      <c r="V142" s="27"/>
      <c r="AC142" s="27"/>
    </row>
    <row r="147" spans="1:43" s="2021" customFormat="1" ht="11.25" customHeight="1">
      <c r="A147" s="1722"/>
      <c r="B147" s="1077"/>
      <c r="C147" s="346"/>
      <c r="D147" s="27"/>
      <c r="E147" s="1744"/>
      <c r="F147" s="1744"/>
      <c r="G147" s="1744"/>
      <c r="H147" s="3067"/>
      <c r="I147" s="3331" t="s">
        <v>1054</v>
      </c>
      <c r="J147" s="3436"/>
      <c r="K147" s="3437"/>
      <c r="L147" s="574"/>
      <c r="M147" s="575" t="s">
        <v>124</v>
      </c>
      <c r="N147" s="1711"/>
      <c r="O147" s="576"/>
      <c r="P147" s="577"/>
      <c r="Q147" s="576"/>
      <c r="R147" s="578">
        <v>0</v>
      </c>
      <c r="S147" s="27"/>
      <c r="T147" s="651"/>
      <c r="U147" s="27"/>
      <c r="V147" s="27"/>
      <c r="AC147" s="27"/>
    </row>
    <row r="148" spans="1:43" s="2021" customFormat="1" ht="11.25" customHeight="1">
      <c r="A148" s="1722"/>
      <c r="B148" s="1077"/>
      <c r="C148" s="346"/>
      <c r="D148" s="27"/>
      <c r="E148" s="1744"/>
      <c r="F148" s="1744"/>
      <c r="G148" s="1744"/>
      <c r="H148" s="3067"/>
      <c r="I148" s="3331"/>
      <c r="J148" s="3436"/>
      <c r="K148" s="3390"/>
      <c r="L148" s="579"/>
      <c r="M148" s="580"/>
      <c r="N148" s="581" t="s">
        <v>1969</v>
      </c>
      <c r="O148" s="581"/>
      <c r="P148" s="581"/>
      <c r="Q148" s="581"/>
      <c r="R148" s="582"/>
      <c r="S148" s="27"/>
      <c r="T148" s="651"/>
      <c r="U148" s="27"/>
      <c r="V148" s="27"/>
      <c r="AC148" s="27"/>
    </row>
    <row r="150" spans="1:43" s="2021" customFormat="1" ht="11.25" customHeight="1">
      <c r="A150" s="1722"/>
      <c r="B150" s="1077"/>
      <c r="C150" s="346"/>
      <c r="D150" s="27"/>
      <c r="E150" s="1751"/>
      <c r="F150" s="1749"/>
      <c r="G150" s="1749"/>
      <c r="H150" s="1752"/>
      <c r="I150" s="1744"/>
      <c r="J150" s="1745"/>
      <c r="K150" s="1745"/>
      <c r="L150" s="574"/>
      <c r="M150" s="575" t="s">
        <v>124</v>
      </c>
      <c r="N150" s="1711"/>
      <c r="O150" s="576"/>
      <c r="P150" s="577"/>
      <c r="Q150" s="576"/>
      <c r="R150" s="578">
        <v>0</v>
      </c>
      <c r="S150" s="27"/>
      <c r="T150" s="651"/>
      <c r="U150" s="27"/>
      <c r="V150" s="27"/>
      <c r="AC150" s="27"/>
    </row>
    <row r="152" spans="1:43" s="3007" customFormat="1" ht="17.25" customHeight="1">
      <c r="A152" s="1731" t="s">
        <v>1971</v>
      </c>
    </row>
    <row r="153" spans="1:43" ht="17.25" customHeight="1">
      <c r="G153" s="1753"/>
      <c r="H153" s="1753"/>
      <c r="I153" s="1753"/>
      <c r="M153" s="1749"/>
    </row>
    <row r="154" spans="1:43" s="2028" customFormat="1" ht="17.25" customHeight="1">
      <c r="A154" s="1754"/>
      <c r="C154" s="1756"/>
      <c r="D154" s="3084"/>
      <c r="E154" s="3094"/>
      <c r="F154" s="3096"/>
      <c r="G154" s="3108"/>
      <c r="H154" s="3084"/>
      <c r="I154" s="3084">
        <v>1</v>
      </c>
      <c r="J154" s="3081"/>
      <c r="K154" s="3078" t="s">
        <v>67</v>
      </c>
      <c r="L154" s="3049"/>
      <c r="M154" s="3049" t="s">
        <v>124</v>
      </c>
      <c r="N154" s="3076" t="str">
        <f>IF(Z154="","",INDEX(TERRITORY_MR_LIST,MATCH(Z154,TERRITORY_LIST_ID,0)))</f>
        <v/>
      </c>
      <c r="O154" s="3078" t="s">
        <v>67</v>
      </c>
      <c r="P154" s="3049"/>
      <c r="Q154" s="3049" t="s">
        <v>124</v>
      </c>
      <c r="R154" s="3390" t="s">
        <v>28</v>
      </c>
      <c r="S154" s="3048" t="s">
        <v>67</v>
      </c>
      <c r="T154" s="1727"/>
      <c r="U154" s="1727" t="s">
        <v>124</v>
      </c>
      <c r="V154" s="1757" t="s">
        <v>28</v>
      </c>
      <c r="W154" s="1717"/>
      <c r="Y154" s="1184"/>
      <c r="Z154" s="1184"/>
      <c r="AA154" s="1184"/>
      <c r="AB154" s="1184"/>
      <c r="AC154" s="1184"/>
      <c r="AD154" s="1184"/>
      <c r="AE154" s="1184"/>
      <c r="AF154" s="1184"/>
      <c r="AG154" s="1184"/>
      <c r="AH154" s="1184"/>
      <c r="AI154" s="1184"/>
      <c r="AJ154" s="1184"/>
      <c r="AK154" s="1184"/>
      <c r="AL154" s="1758"/>
      <c r="AM154" s="1758"/>
      <c r="AN154" s="1184"/>
      <c r="AO154" s="1184"/>
      <c r="AP154" s="1184"/>
      <c r="AQ154" s="1184"/>
    </row>
    <row r="155" spans="1:43" s="2028" customFormat="1" ht="17.25" customHeight="1">
      <c r="A155" s="1754"/>
      <c r="C155" s="1759"/>
      <c r="D155" s="3084"/>
      <c r="E155" s="3094"/>
      <c r="F155" s="3097"/>
      <c r="G155" s="3108"/>
      <c r="H155" s="3084"/>
      <c r="I155" s="3084"/>
      <c r="J155" s="3081"/>
      <c r="K155" s="3079"/>
      <c r="L155" s="3049"/>
      <c r="M155" s="3049"/>
      <c r="N155" s="3076"/>
      <c r="O155" s="3079"/>
      <c r="P155" s="3049"/>
      <c r="Q155" s="3049"/>
      <c r="R155" s="3390"/>
      <c r="S155" s="3048"/>
      <c r="T155" s="252"/>
      <c r="U155" s="253"/>
      <c r="V155" s="253" t="s">
        <v>180</v>
      </c>
      <c r="W155" s="254"/>
      <c r="Y155" s="1176"/>
      <c r="Z155" s="1176"/>
      <c r="AA155" s="1176"/>
      <c r="AB155" s="1176"/>
      <c r="AC155" s="1176"/>
      <c r="AD155" s="1176"/>
      <c r="AE155" s="1176"/>
      <c r="AF155" s="1176"/>
      <c r="AG155" s="1176"/>
      <c r="AH155" s="1176"/>
      <c r="AI155" s="1176"/>
      <c r="AJ155" s="1176"/>
      <c r="AK155" s="1176"/>
    </row>
    <row r="156" spans="1:43" s="2028" customFormat="1" ht="17.25" customHeight="1">
      <c r="A156" s="1754"/>
      <c r="C156" s="1759"/>
      <c r="D156" s="3075"/>
      <c r="E156" s="3095"/>
      <c r="F156" s="3097"/>
      <c r="G156" s="3109"/>
      <c r="H156" s="3075"/>
      <c r="I156" s="3075"/>
      <c r="J156" s="3082"/>
      <c r="K156" s="3079"/>
      <c r="L156" s="3075"/>
      <c r="M156" s="3075"/>
      <c r="N156" s="3077"/>
      <c r="O156" s="3053"/>
      <c r="P156" s="252"/>
      <c r="Q156" s="253"/>
      <c r="R156" s="253" t="s">
        <v>181</v>
      </c>
      <c r="S156" s="1760"/>
      <c r="T156" s="1760"/>
      <c r="U156" s="1760"/>
      <c r="V156" s="1760"/>
      <c r="W156" s="254"/>
      <c r="Y156" s="1176"/>
      <c r="Z156" s="1176"/>
      <c r="AA156" s="1176"/>
      <c r="AB156" s="1176"/>
      <c r="AC156" s="1176"/>
      <c r="AD156" s="1176"/>
      <c r="AE156" s="1176"/>
      <c r="AF156" s="1176"/>
      <c r="AG156" s="1176"/>
      <c r="AH156" s="1176"/>
      <c r="AI156" s="1176"/>
      <c r="AJ156" s="1176"/>
      <c r="AK156" s="1176"/>
    </row>
    <row r="157" spans="1:43" s="2028" customFormat="1" ht="17.25" customHeight="1">
      <c r="A157" s="1754"/>
      <c r="C157" s="1759"/>
      <c r="D157" s="3075"/>
      <c r="E157" s="3095"/>
      <c r="F157" s="3097"/>
      <c r="G157" s="3109"/>
      <c r="H157" s="3075"/>
      <c r="I157" s="3075"/>
      <c r="J157" s="3082"/>
      <c r="K157" s="3053"/>
      <c r="L157" s="252"/>
      <c r="M157" s="253"/>
      <c r="N157" s="253" t="s">
        <v>188</v>
      </c>
      <c r="O157" s="253"/>
      <c r="P157" s="253"/>
      <c r="Q157" s="253"/>
      <c r="R157" s="253"/>
      <c r="S157" s="1760"/>
      <c r="T157" s="1760"/>
      <c r="U157" s="1760"/>
      <c r="V157" s="1760"/>
      <c r="W157" s="254"/>
      <c r="Y157" s="1176"/>
      <c r="Z157" s="1176"/>
      <c r="AA157" s="1176"/>
      <c r="AB157" s="1176"/>
      <c r="AC157" s="1176"/>
      <c r="AD157" s="1176"/>
      <c r="AE157" s="1176"/>
      <c r="AF157" s="1176"/>
      <c r="AG157" s="1176"/>
      <c r="AH157" s="1176"/>
      <c r="AI157" s="1176"/>
      <c r="AJ157" s="1176"/>
      <c r="AK157" s="1176"/>
    </row>
    <row r="158" spans="1:43" s="2028" customFormat="1" ht="17.25" customHeight="1">
      <c r="A158" s="1754"/>
      <c r="C158" s="1759"/>
      <c r="D158" s="3075"/>
      <c r="E158" s="3095"/>
      <c r="F158" s="3098"/>
      <c r="G158" s="3109"/>
      <c r="H158" s="252"/>
      <c r="I158" s="253"/>
      <c r="J158" s="253" t="s">
        <v>189</v>
      </c>
      <c r="K158" s="253"/>
      <c r="L158" s="253"/>
      <c r="M158" s="253"/>
      <c r="N158" s="253"/>
      <c r="O158" s="253"/>
      <c r="P158" s="253"/>
      <c r="Q158" s="253"/>
      <c r="R158" s="253"/>
      <c r="S158" s="1760"/>
      <c r="T158" s="1760"/>
      <c r="U158" s="1760"/>
      <c r="V158" s="1760"/>
      <c r="W158" s="254"/>
      <c r="Y158" s="1176"/>
      <c r="Z158" s="1176"/>
      <c r="AA158" s="1176"/>
      <c r="AB158" s="1176"/>
      <c r="AC158" s="1176"/>
      <c r="AD158" s="1176"/>
      <c r="AE158" s="1176"/>
      <c r="AF158" s="1176"/>
      <c r="AG158" s="1176"/>
      <c r="AH158" s="1176"/>
      <c r="AI158" s="1176"/>
      <c r="AJ158" s="1176"/>
      <c r="AK158" s="1176"/>
    </row>
    <row r="159" spans="1:43" ht="17.25" customHeight="1">
      <c r="G159" s="1753"/>
      <c r="H159" s="1753"/>
      <c r="I159" s="1753"/>
      <c r="M159" s="1749"/>
    </row>
    <row r="160" spans="1:43" s="2028" customFormat="1" ht="17.25" customHeight="1">
      <c r="A160" s="1754"/>
      <c r="C160" s="1756"/>
      <c r="D160" s="1744"/>
      <c r="E160" s="1761"/>
      <c r="F160" s="1700"/>
      <c r="G160" s="1762"/>
      <c r="H160" s="3084"/>
      <c r="I160" s="3084">
        <v>1</v>
      </c>
      <c r="J160" s="3081"/>
      <c r="K160" s="3078" t="s">
        <v>67</v>
      </c>
      <c r="L160" s="3049"/>
      <c r="M160" s="3049" t="s">
        <v>124</v>
      </c>
      <c r="N160" s="3076" t="str">
        <f>IF(Z160="","",INDEX(TERRITORY_MR_LIST,MATCH(Z160,TERRITORY_LIST_ID,0)))</f>
        <v/>
      </c>
      <c r="O160" s="3078" t="s">
        <v>67</v>
      </c>
      <c r="P160" s="3049"/>
      <c r="Q160" s="3049" t="s">
        <v>124</v>
      </c>
      <c r="R160" s="3390" t="s">
        <v>28</v>
      </c>
      <c r="S160" s="3048" t="s">
        <v>67</v>
      </c>
      <c r="T160" s="1727"/>
      <c r="U160" s="1727" t="s">
        <v>124</v>
      </c>
      <c r="V160" s="1757" t="s">
        <v>28</v>
      </c>
      <c r="W160" s="1717"/>
      <c r="Y160" s="1184"/>
      <c r="Z160" s="1184"/>
      <c r="AA160" s="1184"/>
      <c r="AB160" s="1184"/>
      <c r="AC160" s="1184"/>
      <c r="AD160" s="1184"/>
      <c r="AE160" s="1184"/>
      <c r="AF160" s="1184"/>
      <c r="AG160" s="1184"/>
      <c r="AH160" s="1184"/>
      <c r="AI160" s="1184"/>
      <c r="AJ160" s="1184"/>
      <c r="AK160" s="1184"/>
      <c r="AL160" s="1758"/>
      <c r="AM160" s="1758"/>
      <c r="AN160" s="1184"/>
      <c r="AO160" s="1184"/>
      <c r="AP160" s="1184"/>
      <c r="AQ160" s="1184"/>
    </row>
    <row r="161" spans="1:43" s="2028" customFormat="1" ht="17.25" customHeight="1">
      <c r="A161" s="1754"/>
      <c r="C161" s="1759"/>
      <c r="D161" s="1744"/>
      <c r="E161" s="1761"/>
      <c r="F161" s="1700"/>
      <c r="G161" s="1762"/>
      <c r="H161" s="3084"/>
      <c r="I161" s="3084"/>
      <c r="J161" s="3081"/>
      <c r="K161" s="3079"/>
      <c r="L161" s="3049"/>
      <c r="M161" s="3049"/>
      <c r="N161" s="3076"/>
      <c r="O161" s="3079"/>
      <c r="P161" s="3049"/>
      <c r="Q161" s="3049"/>
      <c r="R161" s="3390"/>
      <c r="S161" s="3048"/>
      <c r="T161" s="252"/>
      <c r="U161" s="253"/>
      <c r="V161" s="253" t="s">
        <v>180</v>
      </c>
      <c r="W161" s="254"/>
      <c r="Y161" s="1176"/>
      <c r="Z161" s="1176"/>
      <c r="AA161" s="1176"/>
      <c r="AB161" s="1176"/>
      <c r="AC161" s="1176"/>
      <c r="AD161" s="1176"/>
      <c r="AE161" s="1176"/>
      <c r="AF161" s="1176"/>
      <c r="AG161" s="1176"/>
      <c r="AH161" s="1176"/>
      <c r="AI161" s="1176"/>
      <c r="AJ161" s="1176"/>
      <c r="AK161" s="1176"/>
    </row>
    <row r="162" spans="1:43" s="2028" customFormat="1" ht="17.25" customHeight="1">
      <c r="A162" s="1754"/>
      <c r="C162" s="1759"/>
      <c r="D162" s="1744"/>
      <c r="E162" s="1761"/>
      <c r="F162" s="1700"/>
      <c r="G162" s="1762"/>
      <c r="H162" s="3075"/>
      <c r="I162" s="3075"/>
      <c r="J162" s="3082"/>
      <c r="K162" s="3079"/>
      <c r="L162" s="3075"/>
      <c r="M162" s="3075"/>
      <c r="N162" s="3077"/>
      <c r="O162" s="3053"/>
      <c r="P162" s="252"/>
      <c r="Q162" s="253"/>
      <c r="R162" s="253" t="s">
        <v>181</v>
      </c>
      <c r="S162" s="1760"/>
      <c r="T162" s="1760"/>
      <c r="U162" s="1760"/>
      <c r="V162" s="1760"/>
      <c r="W162" s="254"/>
      <c r="Y162" s="1176"/>
      <c r="Z162" s="1176"/>
      <c r="AA162" s="1176"/>
      <c r="AB162" s="1176"/>
      <c r="AC162" s="1176"/>
      <c r="AD162" s="1176"/>
      <c r="AE162" s="1176"/>
      <c r="AF162" s="1176"/>
      <c r="AG162" s="1176"/>
      <c r="AH162" s="1176"/>
      <c r="AI162" s="1176"/>
      <c r="AJ162" s="1176"/>
      <c r="AK162" s="1176"/>
    </row>
    <row r="163" spans="1:43" s="2028" customFormat="1" ht="17.25" customHeight="1">
      <c r="A163" s="1754"/>
      <c r="C163" s="1759"/>
      <c r="D163" s="1744"/>
      <c r="E163" s="1761"/>
      <c r="F163" s="1700"/>
      <c r="G163" s="1762"/>
      <c r="H163" s="3075"/>
      <c r="I163" s="3075"/>
      <c r="J163" s="3082"/>
      <c r="K163" s="3053"/>
      <c r="L163" s="252"/>
      <c r="M163" s="253"/>
      <c r="N163" s="253" t="s">
        <v>188</v>
      </c>
      <c r="O163" s="253"/>
      <c r="P163" s="253"/>
      <c r="Q163" s="253"/>
      <c r="R163" s="253"/>
      <c r="S163" s="1760"/>
      <c r="T163" s="1760"/>
      <c r="U163" s="1760"/>
      <c r="V163" s="1760"/>
      <c r="W163" s="254"/>
      <c r="Y163" s="1176"/>
      <c r="Z163" s="1176"/>
      <c r="AA163" s="1176"/>
      <c r="AB163" s="1176"/>
      <c r="AC163" s="1176"/>
      <c r="AD163" s="1176"/>
      <c r="AE163" s="1176"/>
      <c r="AF163" s="1176"/>
      <c r="AG163" s="1176"/>
      <c r="AH163" s="1176"/>
      <c r="AI163" s="1176"/>
      <c r="AJ163" s="1176"/>
      <c r="AK163" s="1176"/>
    </row>
    <row r="164" spans="1:43" ht="17.25" customHeight="1">
      <c r="G164" s="1753"/>
      <c r="H164" s="1753"/>
      <c r="I164" s="1753"/>
      <c r="M164" s="1749"/>
    </row>
    <row r="165" spans="1:43" s="2028" customFormat="1" ht="17.25" customHeight="1">
      <c r="A165" s="1754"/>
      <c r="C165" s="1756"/>
      <c r="D165" s="1744"/>
      <c r="E165" s="1761"/>
      <c r="F165" s="1700"/>
      <c r="G165" s="1762"/>
      <c r="H165" s="1744"/>
      <c r="I165" s="1744"/>
      <c r="J165" s="1763"/>
      <c r="K165" s="1676"/>
      <c r="L165" s="3049"/>
      <c r="M165" s="3049" t="s">
        <v>124</v>
      </c>
      <c r="N165" s="3076" t="str">
        <f>IF(Z165="","",INDEX(TERRITORY_MR_LIST,MATCH(Z165,TERRITORY_LIST_ID,0)))</f>
        <v/>
      </c>
      <c r="O165" s="3078" t="s">
        <v>67</v>
      </c>
      <c r="P165" s="3049"/>
      <c r="Q165" s="3049" t="s">
        <v>124</v>
      </c>
      <c r="R165" s="3390" t="s">
        <v>28</v>
      </c>
      <c r="S165" s="3048" t="s">
        <v>67</v>
      </c>
      <c r="T165" s="1727"/>
      <c r="U165" s="1727" t="s">
        <v>124</v>
      </c>
      <c r="V165" s="1757" t="s">
        <v>28</v>
      </c>
      <c r="W165" s="1717"/>
      <c r="Y165" s="1184"/>
      <c r="Z165" s="1184"/>
      <c r="AA165" s="1184"/>
      <c r="AB165" s="1184"/>
      <c r="AC165" s="1184"/>
      <c r="AD165" s="1184"/>
      <c r="AE165" s="1184"/>
      <c r="AF165" s="1184"/>
      <c r="AG165" s="1184"/>
      <c r="AH165" s="1184"/>
      <c r="AI165" s="1184"/>
      <c r="AJ165" s="1184"/>
      <c r="AK165" s="1184"/>
      <c r="AL165" s="1758"/>
      <c r="AM165" s="1758"/>
      <c r="AN165" s="1184"/>
      <c r="AO165" s="1184"/>
      <c r="AP165" s="1184"/>
      <c r="AQ165" s="1184"/>
    </row>
    <row r="166" spans="1:43" s="2028" customFormat="1" ht="17.25" customHeight="1">
      <c r="A166" s="1754"/>
      <c r="C166" s="1759"/>
      <c r="D166" s="1744"/>
      <c r="E166" s="1761"/>
      <c r="F166" s="1700"/>
      <c r="G166" s="1762"/>
      <c r="H166" s="1744"/>
      <c r="I166" s="1744"/>
      <c r="J166" s="1763"/>
      <c r="K166" s="1676"/>
      <c r="L166" s="3049"/>
      <c r="M166" s="3049"/>
      <c r="N166" s="3076"/>
      <c r="O166" s="3079"/>
      <c r="P166" s="3049"/>
      <c r="Q166" s="3049"/>
      <c r="R166" s="3390"/>
      <c r="S166" s="3048"/>
      <c r="T166" s="252"/>
      <c r="U166" s="253"/>
      <c r="V166" s="253" t="s">
        <v>180</v>
      </c>
      <c r="W166" s="254"/>
      <c r="Y166" s="1176"/>
      <c r="Z166" s="1176"/>
      <c r="AA166" s="1176"/>
      <c r="AB166" s="1176"/>
      <c r="AC166" s="1176"/>
      <c r="AD166" s="1176"/>
      <c r="AE166" s="1176"/>
      <c r="AF166" s="1176"/>
      <c r="AG166" s="1176"/>
      <c r="AH166" s="1176"/>
      <c r="AI166" s="1176"/>
      <c r="AJ166" s="1176"/>
      <c r="AK166" s="1176"/>
    </row>
    <row r="167" spans="1:43" s="2028" customFormat="1" ht="17.25" customHeight="1">
      <c r="A167" s="1754"/>
      <c r="C167" s="1759"/>
      <c r="D167" s="1744"/>
      <c r="E167" s="1761"/>
      <c r="F167" s="1700"/>
      <c r="G167" s="1762"/>
      <c r="H167" s="1744"/>
      <c r="I167" s="1744"/>
      <c r="J167" s="1763"/>
      <c r="K167" s="1676"/>
      <c r="L167" s="3075"/>
      <c r="M167" s="3075"/>
      <c r="N167" s="3077"/>
      <c r="O167" s="3053"/>
      <c r="P167" s="252"/>
      <c r="Q167" s="253"/>
      <c r="R167" s="253" t="s">
        <v>181</v>
      </c>
      <c r="S167" s="1760"/>
      <c r="T167" s="1760"/>
      <c r="U167" s="1760"/>
      <c r="V167" s="1760"/>
      <c r="W167" s="254"/>
      <c r="Y167" s="1176"/>
      <c r="Z167" s="1176"/>
      <c r="AA167" s="1176"/>
      <c r="AB167" s="1176"/>
      <c r="AC167" s="1176"/>
      <c r="AD167" s="1176"/>
      <c r="AE167" s="1176"/>
      <c r="AF167" s="1176"/>
      <c r="AG167" s="1176"/>
      <c r="AH167" s="1176"/>
      <c r="AI167" s="1176"/>
      <c r="AJ167" s="1176"/>
      <c r="AK167" s="1176"/>
    </row>
    <row r="168" spans="1:43" ht="17.25" customHeight="1">
      <c r="G168" s="1753"/>
      <c r="H168" s="1753"/>
      <c r="I168" s="1753"/>
      <c r="M168" s="1749"/>
    </row>
    <row r="169" spans="1:43" s="2028" customFormat="1" ht="17.25" customHeight="1">
      <c r="A169" s="1754"/>
      <c r="C169" s="1756"/>
      <c r="D169" s="1744"/>
      <c r="E169" s="1761"/>
      <c r="F169" s="1700"/>
      <c r="G169" s="1762"/>
      <c r="H169" s="1744"/>
      <c r="I169" s="1744"/>
      <c r="J169" s="1763"/>
      <c r="K169" s="1676"/>
      <c r="L169" s="1672"/>
      <c r="M169" s="1672"/>
      <c r="N169" s="1959"/>
      <c r="O169" s="1703"/>
      <c r="P169" s="3049"/>
      <c r="Q169" s="3049" t="s">
        <v>124</v>
      </c>
      <c r="R169" s="3390" t="s">
        <v>28</v>
      </c>
      <c r="S169" s="3048" t="s">
        <v>67</v>
      </c>
      <c r="T169" s="1727"/>
      <c r="U169" s="1727" t="s">
        <v>124</v>
      </c>
      <c r="V169" s="1757" t="s">
        <v>28</v>
      </c>
      <c r="W169" s="1717"/>
      <c r="Y169" s="1184"/>
      <c r="Z169" s="1184"/>
      <c r="AA169" s="1184"/>
      <c r="AB169" s="1184"/>
      <c r="AC169" s="1184"/>
      <c r="AD169" s="1184"/>
      <c r="AE169" s="1184"/>
      <c r="AF169" s="1184"/>
      <c r="AG169" s="1184"/>
      <c r="AH169" s="1184"/>
      <c r="AI169" s="1184"/>
      <c r="AJ169" s="1184"/>
      <c r="AK169" s="1184"/>
      <c r="AL169" s="1758"/>
      <c r="AM169" s="1758"/>
      <c r="AN169" s="1184"/>
      <c r="AO169" s="1184"/>
      <c r="AP169" s="1184"/>
      <c r="AQ169" s="1184"/>
    </row>
    <row r="170" spans="1:43" s="2028" customFormat="1" ht="17.25" customHeight="1">
      <c r="A170" s="1754"/>
      <c r="C170" s="1759"/>
      <c r="D170" s="1744"/>
      <c r="E170" s="1761"/>
      <c r="F170" s="1700"/>
      <c r="G170" s="1762"/>
      <c r="H170" s="1744"/>
      <c r="I170" s="1744"/>
      <c r="J170" s="1763"/>
      <c r="K170" s="1676"/>
      <c r="L170" s="1672"/>
      <c r="M170" s="1672"/>
      <c r="N170" s="1959"/>
      <c r="O170" s="1703"/>
      <c r="P170" s="3049"/>
      <c r="Q170" s="3049"/>
      <c r="R170" s="3390"/>
      <c r="S170" s="3048"/>
      <c r="T170" s="252"/>
      <c r="U170" s="253"/>
      <c r="V170" s="253" t="s">
        <v>180</v>
      </c>
      <c r="W170" s="254"/>
      <c r="Y170" s="1176"/>
      <c r="Z170" s="1176"/>
      <c r="AA170" s="1176"/>
      <c r="AB170" s="1176"/>
      <c r="AC170" s="1176"/>
      <c r="AD170" s="1176"/>
      <c r="AE170" s="1176"/>
      <c r="AF170" s="1176"/>
      <c r="AG170" s="1176"/>
      <c r="AH170" s="1176"/>
      <c r="AI170" s="1176"/>
      <c r="AJ170" s="1176"/>
      <c r="AK170" s="1176"/>
    </row>
    <row r="171" spans="1:43" ht="17.25" customHeight="1">
      <c r="G171" s="1753"/>
      <c r="H171" s="1753"/>
      <c r="I171" s="1753"/>
      <c r="M171" s="1749"/>
    </row>
    <row r="172" spans="1:43" s="2028" customFormat="1" ht="17.25" customHeight="1">
      <c r="A172" s="1754"/>
      <c r="C172" s="1756"/>
      <c r="D172" s="1744"/>
      <c r="E172" s="1761"/>
      <c r="F172" s="1700"/>
      <c r="G172" s="1762"/>
      <c r="H172" s="1672"/>
      <c r="I172" s="1672"/>
      <c r="J172" s="1673"/>
      <c r="K172" s="1762"/>
      <c r="L172" s="1672"/>
      <c r="M172" s="1672"/>
      <c r="N172" s="1762"/>
      <c r="O172" s="1762"/>
      <c r="P172" s="1672"/>
      <c r="Q172" s="1672"/>
      <c r="R172" s="1674"/>
      <c r="S172" s="1762"/>
      <c r="T172" s="1727"/>
      <c r="U172" s="1727" t="s">
        <v>124</v>
      </c>
      <c r="V172" s="1757" t="s">
        <v>28</v>
      </c>
      <c r="W172" s="1717"/>
      <c r="Y172" s="1184"/>
      <c r="Z172" s="1184"/>
      <c r="AA172" s="1184"/>
      <c r="AB172" s="1184"/>
      <c r="AC172" s="1184"/>
      <c r="AD172" s="1184"/>
      <c r="AE172" s="1184"/>
      <c r="AF172" s="1184"/>
      <c r="AG172" s="1184"/>
      <c r="AH172" s="1184"/>
      <c r="AI172" s="1184"/>
      <c r="AJ172" s="1184"/>
      <c r="AK172" s="1184"/>
      <c r="AL172" s="1758"/>
      <c r="AM172" s="1758"/>
      <c r="AN172" s="1184"/>
      <c r="AO172" s="1184"/>
      <c r="AP172" s="1184"/>
      <c r="AQ172" s="1184"/>
    </row>
    <row r="174" spans="1:43" s="3007" customFormat="1" ht="17.25" customHeight="1">
      <c r="A174" s="1731" t="s">
        <v>1972</v>
      </c>
    </row>
    <row r="175" spans="1:43" ht="17.25" customHeight="1">
      <c r="G175" s="1753"/>
      <c r="H175" s="1753"/>
      <c r="I175" s="1753"/>
      <c r="M175" s="1749"/>
    </row>
    <row r="176" spans="1:43" s="2028" customFormat="1" ht="17.25" customHeight="1">
      <c r="A176" s="1754"/>
      <c r="C176" s="1756"/>
      <c r="D176" s="3084"/>
      <c r="E176" s="3094"/>
      <c r="F176" s="3096"/>
      <c r="G176" s="3108"/>
      <c r="H176" s="3084"/>
      <c r="I176" s="3084">
        <v>1</v>
      </c>
      <c r="J176" s="3081"/>
      <c r="K176" s="3078" t="s">
        <v>67</v>
      </c>
      <c r="L176" s="3049"/>
      <c r="M176" s="3049" t="s">
        <v>124</v>
      </c>
      <c r="N176" s="3076" t="str">
        <f>IF(Z176="","",INDEX(TERRITORY_MR_LIST,MATCH(Z176,TERRITORY_LIST_ID,0)))</f>
        <v/>
      </c>
      <c r="O176" s="3078" t="s">
        <v>67</v>
      </c>
      <c r="P176" s="3049"/>
      <c r="Q176" s="3049" t="s">
        <v>124</v>
      </c>
      <c r="R176" s="3390" t="s">
        <v>28</v>
      </c>
      <c r="S176" s="3315" t="s">
        <v>19</v>
      </c>
      <c r="T176" s="1718"/>
      <c r="U176" s="1718" t="s">
        <v>124</v>
      </c>
      <c r="V176" s="1351"/>
      <c r="W176" s="3081"/>
      <c r="Y176" s="1184"/>
      <c r="Z176" s="1184"/>
      <c r="AA176" s="1184"/>
      <c r="AB176" s="1184"/>
      <c r="AC176" s="1184"/>
      <c r="AD176" s="1184"/>
      <c r="AE176" s="1184"/>
      <c r="AF176" s="1184"/>
      <c r="AG176" s="1184"/>
      <c r="AH176" s="1184"/>
      <c r="AI176" s="1184"/>
      <c r="AJ176" s="1184"/>
      <c r="AK176" s="1184"/>
      <c r="AL176" s="1758"/>
      <c r="AM176" s="1758"/>
      <c r="AN176" s="1184"/>
      <c r="AO176" s="1184"/>
      <c r="AP176" s="1184"/>
      <c r="AQ176" s="1184"/>
    </row>
    <row r="177" spans="1:43" s="2028" customFormat="1" ht="17.25" customHeight="1">
      <c r="A177" s="1754"/>
      <c r="C177" s="1759"/>
      <c r="D177" s="3084"/>
      <c r="E177" s="3094"/>
      <c r="F177" s="3097"/>
      <c r="G177" s="3108"/>
      <c r="H177" s="3084"/>
      <c r="I177" s="3084"/>
      <c r="J177" s="3081"/>
      <c r="K177" s="3079"/>
      <c r="L177" s="3049"/>
      <c r="M177" s="3049"/>
      <c r="N177" s="3076"/>
      <c r="O177" s="3079"/>
      <c r="P177" s="3049"/>
      <c r="Q177" s="3049"/>
      <c r="R177" s="3390"/>
      <c r="S177" s="3315"/>
      <c r="T177" s="1352"/>
      <c r="U177" s="1353"/>
      <c r="V177" s="1353"/>
      <c r="W177" s="3081"/>
      <c r="Y177" s="1176"/>
      <c r="Z177" s="1176"/>
      <c r="AA177" s="1176"/>
      <c r="AB177" s="1176"/>
      <c r="AC177" s="1176"/>
      <c r="AD177" s="1176"/>
      <c r="AE177" s="1176"/>
      <c r="AF177" s="1176"/>
      <c r="AG177" s="1176"/>
      <c r="AH177" s="1176"/>
      <c r="AI177" s="1176"/>
      <c r="AJ177" s="1176"/>
      <c r="AK177" s="1176"/>
    </row>
    <row r="178" spans="1:43" s="2028" customFormat="1" ht="17.25" customHeight="1">
      <c r="A178" s="1754"/>
      <c r="C178" s="1759"/>
      <c r="D178" s="3075"/>
      <c r="E178" s="3095"/>
      <c r="F178" s="3097"/>
      <c r="G178" s="3109"/>
      <c r="H178" s="3075"/>
      <c r="I178" s="3075"/>
      <c r="J178" s="3082"/>
      <c r="K178" s="3079"/>
      <c r="L178" s="3075"/>
      <c r="M178" s="3075"/>
      <c r="N178" s="3077"/>
      <c r="O178" s="3053"/>
      <c r="P178" s="252"/>
      <c r="Q178" s="253"/>
      <c r="R178" s="253" t="s">
        <v>181</v>
      </c>
      <c r="S178" s="1760"/>
      <c r="T178" s="1760"/>
      <c r="U178" s="1760"/>
      <c r="V178" s="1760"/>
      <c r="W178" s="1350"/>
      <c r="Y178" s="1176"/>
      <c r="Z178" s="1176"/>
      <c r="AA178" s="1176"/>
      <c r="AB178" s="1176"/>
      <c r="AC178" s="1176"/>
      <c r="AD178" s="1176"/>
      <c r="AE178" s="1176"/>
      <c r="AF178" s="1176"/>
      <c r="AG178" s="1176"/>
      <c r="AH178" s="1176"/>
      <c r="AI178" s="1176"/>
      <c r="AJ178" s="1176"/>
      <c r="AK178" s="1176"/>
    </row>
    <row r="179" spans="1:43" s="2028" customFormat="1" ht="17.25" customHeight="1">
      <c r="A179" s="1754"/>
      <c r="C179" s="1759"/>
      <c r="D179" s="3075"/>
      <c r="E179" s="3095"/>
      <c r="F179" s="3097"/>
      <c r="G179" s="3109"/>
      <c r="H179" s="3075"/>
      <c r="I179" s="3075"/>
      <c r="J179" s="3082"/>
      <c r="K179" s="3053"/>
      <c r="L179" s="252"/>
      <c r="M179" s="253"/>
      <c r="N179" s="253" t="s">
        <v>188</v>
      </c>
      <c r="O179" s="253"/>
      <c r="P179" s="253"/>
      <c r="Q179" s="253"/>
      <c r="R179" s="253"/>
      <c r="S179" s="1760"/>
      <c r="T179" s="1760"/>
      <c r="U179" s="1760"/>
      <c r="V179" s="1760"/>
      <c r="W179" s="254"/>
      <c r="Y179" s="1176"/>
      <c r="Z179" s="1176"/>
      <c r="AA179" s="1176"/>
      <c r="AB179" s="1176"/>
      <c r="AC179" s="1176"/>
      <c r="AD179" s="1176"/>
      <c r="AE179" s="1176"/>
      <c r="AF179" s="1176"/>
      <c r="AG179" s="1176"/>
      <c r="AH179" s="1176"/>
      <c r="AI179" s="1176"/>
      <c r="AJ179" s="1176"/>
      <c r="AK179" s="1176"/>
    </row>
    <row r="180" spans="1:43" s="2028" customFormat="1" ht="17.25" customHeight="1">
      <c r="A180" s="1754"/>
      <c r="C180" s="1759"/>
      <c r="D180" s="3075"/>
      <c r="E180" s="3095"/>
      <c r="F180" s="3098"/>
      <c r="G180" s="3109"/>
      <c r="H180" s="252"/>
      <c r="I180" s="253"/>
      <c r="J180" s="253" t="s">
        <v>189</v>
      </c>
      <c r="K180" s="253"/>
      <c r="L180" s="253"/>
      <c r="M180" s="253"/>
      <c r="N180" s="253"/>
      <c r="O180" s="253"/>
      <c r="P180" s="253"/>
      <c r="Q180" s="253"/>
      <c r="R180" s="253"/>
      <c r="S180" s="1760"/>
      <c r="T180" s="1760"/>
      <c r="U180" s="1760"/>
      <c r="V180" s="1760"/>
      <c r="W180" s="254"/>
      <c r="Y180" s="1176"/>
      <c r="Z180" s="1176"/>
      <c r="AA180" s="1176"/>
      <c r="AB180" s="1176"/>
      <c r="AC180" s="1176"/>
      <c r="AD180" s="1176"/>
      <c r="AE180" s="1176"/>
      <c r="AF180" s="1176"/>
      <c r="AG180" s="1176"/>
      <c r="AH180" s="1176"/>
      <c r="AI180" s="1176"/>
      <c r="AJ180" s="1176"/>
      <c r="AK180" s="1176"/>
    </row>
    <row r="181" spans="1:43" ht="17.25" customHeight="1">
      <c r="A181" s="1764"/>
    </row>
    <row r="182" spans="1:43" s="2028" customFormat="1" ht="17.25" customHeight="1">
      <c r="A182" s="1754"/>
      <c r="C182" s="1756"/>
      <c r="D182" s="1744"/>
      <c r="E182" s="1761"/>
      <c r="F182" s="1700"/>
      <c r="G182" s="1762"/>
      <c r="H182" s="3084"/>
      <c r="I182" s="3084">
        <v>1</v>
      </c>
      <c r="J182" s="3081"/>
      <c r="K182" s="3078" t="s">
        <v>67</v>
      </c>
      <c r="L182" s="3049"/>
      <c r="M182" s="3049" t="s">
        <v>124</v>
      </c>
      <c r="N182" s="3076" t="str">
        <f>IF(Z182="","",INDEX(TERRITORY_MR_LIST,MATCH(Z182,TERRITORY_LIST_ID,0)))</f>
        <v/>
      </c>
      <c r="O182" s="3078" t="s">
        <v>67</v>
      </c>
      <c r="P182" s="3049"/>
      <c r="Q182" s="3049" t="s">
        <v>124</v>
      </c>
      <c r="R182" s="3390" t="s">
        <v>28</v>
      </c>
      <c r="S182" s="3315" t="s">
        <v>19</v>
      </c>
      <c r="T182" s="1718"/>
      <c r="U182" s="1718" t="s">
        <v>124</v>
      </c>
      <c r="V182" s="1351"/>
      <c r="W182" s="3081"/>
      <c r="Y182" s="1184"/>
      <c r="Z182" s="1184"/>
      <c r="AA182" s="1184"/>
      <c r="AB182" s="1184"/>
      <c r="AC182" s="1184"/>
      <c r="AD182" s="1184"/>
      <c r="AE182" s="1184"/>
      <c r="AF182" s="1184"/>
      <c r="AG182" s="1184"/>
      <c r="AH182" s="1184"/>
      <c r="AI182" s="1184"/>
      <c r="AJ182" s="1184"/>
      <c r="AK182" s="1184"/>
      <c r="AL182" s="1758"/>
      <c r="AM182" s="1758"/>
      <c r="AN182" s="1184"/>
      <c r="AO182" s="1184"/>
      <c r="AP182" s="1184"/>
      <c r="AQ182" s="1184"/>
    </row>
    <row r="183" spans="1:43" s="2028" customFormat="1" ht="17.25" customHeight="1">
      <c r="A183" s="1754"/>
      <c r="C183" s="1759"/>
      <c r="D183" s="1744"/>
      <c r="E183" s="1761"/>
      <c r="F183" s="1700"/>
      <c r="G183" s="1762"/>
      <c r="H183" s="3084"/>
      <c r="I183" s="3084"/>
      <c r="J183" s="3081"/>
      <c r="K183" s="3079"/>
      <c r="L183" s="3049"/>
      <c r="M183" s="3049"/>
      <c r="N183" s="3076"/>
      <c r="O183" s="3079"/>
      <c r="P183" s="3049"/>
      <c r="Q183" s="3049"/>
      <c r="R183" s="3390"/>
      <c r="S183" s="3315"/>
      <c r="T183" s="1352"/>
      <c r="U183" s="1353"/>
      <c r="V183" s="1353"/>
      <c r="W183" s="3081"/>
      <c r="Y183" s="1176"/>
      <c r="Z183" s="1176"/>
      <c r="AA183" s="1176"/>
      <c r="AB183" s="1176"/>
      <c r="AC183" s="1176"/>
      <c r="AD183" s="1176"/>
      <c r="AE183" s="1176"/>
      <c r="AF183" s="1176"/>
      <c r="AG183" s="1176"/>
      <c r="AH183" s="1176"/>
      <c r="AI183" s="1176"/>
      <c r="AJ183" s="1176"/>
      <c r="AK183" s="1176"/>
    </row>
    <row r="184" spans="1:43" s="2028" customFormat="1" ht="17.25" customHeight="1">
      <c r="A184" s="1754"/>
      <c r="C184" s="1759"/>
      <c r="D184" s="1744"/>
      <c r="E184" s="1761"/>
      <c r="F184" s="1700"/>
      <c r="G184" s="1762"/>
      <c r="H184" s="3075"/>
      <c r="I184" s="3075"/>
      <c r="J184" s="3082"/>
      <c r="K184" s="3079"/>
      <c r="L184" s="3075"/>
      <c r="M184" s="3075"/>
      <c r="N184" s="3077"/>
      <c r="O184" s="3053"/>
      <c r="P184" s="252"/>
      <c r="Q184" s="253"/>
      <c r="R184" s="253" t="s">
        <v>181</v>
      </c>
      <c r="S184" s="1760"/>
      <c r="T184" s="1760"/>
      <c r="U184" s="1760"/>
      <c r="V184" s="1760"/>
      <c r="W184" s="1350"/>
      <c r="Y184" s="1176"/>
      <c r="Z184" s="1176"/>
      <c r="AA184" s="1176"/>
      <c r="AB184" s="1176"/>
      <c r="AC184" s="1176"/>
      <c r="AD184" s="1176"/>
      <c r="AE184" s="1176"/>
      <c r="AF184" s="1176"/>
      <c r="AG184" s="1176"/>
      <c r="AH184" s="1176"/>
      <c r="AI184" s="1176"/>
      <c r="AJ184" s="1176"/>
      <c r="AK184" s="1176"/>
    </row>
    <row r="185" spans="1:43" s="2028" customFormat="1" ht="17.25" customHeight="1">
      <c r="A185" s="1754"/>
      <c r="C185" s="1759"/>
      <c r="D185" s="1744"/>
      <c r="E185" s="1761"/>
      <c r="F185" s="1700"/>
      <c r="G185" s="1762"/>
      <c r="H185" s="3075"/>
      <c r="I185" s="3075"/>
      <c r="J185" s="3082"/>
      <c r="K185" s="3053"/>
      <c r="L185" s="252"/>
      <c r="M185" s="253"/>
      <c r="N185" s="253" t="s">
        <v>188</v>
      </c>
      <c r="O185" s="253"/>
      <c r="P185" s="253"/>
      <c r="Q185" s="253"/>
      <c r="R185" s="253"/>
      <c r="S185" s="1760"/>
      <c r="T185" s="1760"/>
      <c r="U185" s="1760"/>
      <c r="V185" s="1760"/>
      <c r="W185" s="254"/>
      <c r="Y185" s="1176"/>
      <c r="Z185" s="1176"/>
      <c r="AA185" s="1176"/>
      <c r="AB185" s="1176"/>
      <c r="AC185" s="1176"/>
      <c r="AD185" s="1176"/>
      <c r="AE185" s="1176"/>
      <c r="AF185" s="1176"/>
      <c r="AG185" s="1176"/>
      <c r="AH185" s="1176"/>
      <c r="AI185" s="1176"/>
      <c r="AJ185" s="1176"/>
      <c r="AK185" s="1176"/>
    </row>
    <row r="186" spans="1:43" ht="17.25" customHeight="1">
      <c r="A186" s="1764"/>
    </row>
    <row r="187" spans="1:43" s="2028" customFormat="1" ht="17.25" customHeight="1">
      <c r="A187" s="1754"/>
      <c r="C187" s="1756"/>
      <c r="D187" s="1744"/>
      <c r="E187" s="1761"/>
      <c r="F187" s="1700"/>
      <c r="G187" s="1762"/>
      <c r="H187" s="1744"/>
      <c r="I187" s="1744"/>
      <c r="J187" s="1765"/>
      <c r="K187" s="1762"/>
      <c r="L187" s="3049"/>
      <c r="M187" s="3049" t="s">
        <v>124</v>
      </c>
      <c r="N187" s="3076" t="str">
        <f>IF(Z187="","",INDEX(TERRITORY_MR_LIST,MATCH(Z187,TERRITORY_LIST_ID,0)))</f>
        <v/>
      </c>
      <c r="O187" s="3078" t="s">
        <v>67</v>
      </c>
      <c r="P187" s="3049"/>
      <c r="Q187" s="3049" t="s">
        <v>124</v>
      </c>
      <c r="R187" s="3390" t="s">
        <v>28</v>
      </c>
      <c r="S187" s="3315" t="s">
        <v>19</v>
      </c>
      <c r="T187" s="1718"/>
      <c r="U187" s="1718" t="s">
        <v>124</v>
      </c>
      <c r="V187" s="1351"/>
      <c r="W187" s="3081"/>
      <c r="Y187" s="1184"/>
      <c r="Z187" s="1184"/>
      <c r="AA187" s="1184"/>
      <c r="AB187" s="1184"/>
      <c r="AC187" s="1184"/>
      <c r="AD187" s="1184"/>
      <c r="AE187" s="1184"/>
      <c r="AF187" s="1184"/>
      <c r="AG187" s="1184"/>
      <c r="AH187" s="1184"/>
      <c r="AI187" s="1184"/>
      <c r="AJ187" s="1184"/>
      <c r="AK187" s="1184"/>
      <c r="AL187" s="1758"/>
      <c r="AM187" s="1758"/>
      <c r="AN187" s="1184"/>
      <c r="AO187" s="1184"/>
      <c r="AP187" s="1184"/>
      <c r="AQ187" s="1184"/>
    </row>
    <row r="188" spans="1:43" s="2028" customFormat="1" ht="17.25" customHeight="1">
      <c r="A188" s="1754"/>
      <c r="C188" s="1759"/>
      <c r="D188" s="1744"/>
      <c r="E188" s="1761"/>
      <c r="F188" s="1700"/>
      <c r="G188" s="1762"/>
      <c r="H188" s="1744"/>
      <c r="I188" s="1744"/>
      <c r="J188" s="1765"/>
      <c r="K188" s="1762"/>
      <c r="L188" s="3049"/>
      <c r="M188" s="3049"/>
      <c r="N188" s="3076"/>
      <c r="O188" s="3079"/>
      <c r="P188" s="3049"/>
      <c r="Q188" s="3049"/>
      <c r="R188" s="3390"/>
      <c r="S188" s="3315"/>
      <c r="T188" s="1352"/>
      <c r="U188" s="1353"/>
      <c r="V188" s="1353"/>
      <c r="W188" s="3081"/>
      <c r="Y188" s="1176"/>
      <c r="Z188" s="1176"/>
      <c r="AA188" s="1176"/>
      <c r="AB188" s="1176"/>
      <c r="AC188" s="1176"/>
      <c r="AD188" s="1176"/>
      <c r="AE188" s="1176"/>
      <c r="AF188" s="1176"/>
      <c r="AG188" s="1176"/>
      <c r="AH188" s="1176"/>
      <c r="AI188" s="1176"/>
      <c r="AJ188" s="1176"/>
      <c r="AK188" s="1176"/>
    </row>
    <row r="189" spans="1:43" s="2028" customFormat="1" ht="17.25" customHeight="1">
      <c r="A189" s="1754"/>
      <c r="C189" s="1759"/>
      <c r="D189" s="1744"/>
      <c r="E189" s="1761"/>
      <c r="F189" s="1700"/>
      <c r="G189" s="1762"/>
      <c r="H189" s="1744"/>
      <c r="I189" s="1744"/>
      <c r="J189" s="1765"/>
      <c r="K189" s="1762"/>
      <c r="L189" s="3075"/>
      <c r="M189" s="3075"/>
      <c r="N189" s="3077"/>
      <c r="O189" s="3053"/>
      <c r="P189" s="252"/>
      <c r="Q189" s="253"/>
      <c r="R189" s="253" t="s">
        <v>181</v>
      </c>
      <c r="S189" s="1760"/>
      <c r="T189" s="1760"/>
      <c r="U189" s="1760"/>
      <c r="V189" s="1760"/>
      <c r="W189" s="1350"/>
      <c r="Y189" s="1176"/>
      <c r="Z189" s="1176"/>
      <c r="AA189" s="1176"/>
      <c r="AB189" s="1176"/>
      <c r="AC189" s="1176"/>
      <c r="AD189" s="1176"/>
      <c r="AE189" s="1176"/>
      <c r="AF189" s="1176"/>
      <c r="AG189" s="1176"/>
      <c r="AH189" s="1176"/>
      <c r="AI189" s="1176"/>
      <c r="AJ189" s="1176"/>
      <c r="AK189" s="1176"/>
    </row>
    <row r="190" spans="1:43" ht="17.25" customHeight="1">
      <c r="A190" s="1764"/>
    </row>
    <row r="191" spans="1:43" s="2028" customFormat="1" ht="17.25" customHeight="1">
      <c r="A191" s="1754"/>
      <c r="C191" s="1756"/>
      <c r="D191" s="1744"/>
      <c r="E191" s="1761"/>
      <c r="F191" s="1700"/>
      <c r="G191" s="1762"/>
      <c r="H191" s="1744"/>
      <c r="I191" s="1744"/>
      <c r="J191" s="1765"/>
      <c r="K191" s="1762"/>
      <c r="L191" s="1744"/>
      <c r="M191" s="1744"/>
      <c r="N191" s="1959"/>
      <c r="O191" s="1703"/>
      <c r="P191" s="3049"/>
      <c r="Q191" s="3049" t="s">
        <v>124</v>
      </c>
      <c r="R191" s="3390" t="s">
        <v>28</v>
      </c>
      <c r="S191" s="3315" t="s">
        <v>19</v>
      </c>
      <c r="T191" s="1718"/>
      <c r="U191" s="1718" t="s">
        <v>124</v>
      </c>
      <c r="V191" s="1351"/>
      <c r="W191" s="3081"/>
      <c r="Y191" s="1184"/>
      <c r="Z191" s="1184"/>
      <c r="AA191" s="1184"/>
      <c r="AB191" s="1184"/>
      <c r="AC191" s="1184"/>
      <c r="AD191" s="1184"/>
      <c r="AE191" s="1184"/>
      <c r="AF191" s="1184"/>
      <c r="AG191" s="1184"/>
      <c r="AH191" s="1184"/>
      <c r="AI191" s="1184"/>
      <c r="AJ191" s="1184"/>
      <c r="AK191" s="1184"/>
      <c r="AL191" s="1758"/>
      <c r="AM191" s="1758"/>
      <c r="AN191" s="1184"/>
      <c r="AO191" s="1184"/>
      <c r="AP191" s="1184"/>
      <c r="AQ191" s="1184"/>
    </row>
    <row r="192" spans="1:43" s="2028" customFormat="1" ht="17.25" customHeight="1">
      <c r="A192" s="1754"/>
      <c r="C192" s="1759"/>
      <c r="D192" s="1744"/>
      <c r="E192" s="1761"/>
      <c r="F192" s="1700"/>
      <c r="G192" s="1762"/>
      <c r="H192" s="1744"/>
      <c r="I192" s="1744"/>
      <c r="J192" s="1765"/>
      <c r="K192" s="1762"/>
      <c r="L192" s="1744"/>
      <c r="M192" s="1744"/>
      <c r="N192" s="1959"/>
      <c r="O192" s="1703"/>
      <c r="P192" s="3049"/>
      <c r="Q192" s="3049"/>
      <c r="R192" s="3390"/>
      <c r="S192" s="3315"/>
      <c r="T192" s="1352"/>
      <c r="U192" s="1353"/>
      <c r="V192" s="1353"/>
      <c r="W192" s="3081"/>
      <c r="Y192" s="1176"/>
      <c r="Z192" s="1176"/>
      <c r="AA192" s="1176"/>
      <c r="AB192" s="1176"/>
      <c r="AC192" s="1176"/>
      <c r="AD192" s="1176"/>
      <c r="AE192" s="1176"/>
      <c r="AF192" s="1176"/>
      <c r="AG192" s="1176"/>
      <c r="AH192" s="1176"/>
      <c r="AI192" s="1176"/>
      <c r="AJ192" s="1176"/>
      <c r="AK192" s="1176"/>
    </row>
    <row r="193" spans="1:63" ht="17.25" customHeight="1">
      <c r="A193" s="1764"/>
    </row>
    <row r="194" spans="1:63" ht="16.5" customHeight="1">
      <c r="A194" s="1754"/>
      <c r="B194" s="1755"/>
      <c r="C194" s="1759"/>
      <c r="D194" s="3084"/>
      <c r="E194" s="3134"/>
      <c r="F194" s="3134"/>
      <c r="G194" s="3067"/>
      <c r="H194" s="3099"/>
      <c r="I194" s="3101"/>
      <c r="J194" s="3103"/>
      <c r="K194" s="3088"/>
      <c r="L194" s="3088"/>
      <c r="M194" s="3088"/>
      <c r="N194" s="3090"/>
      <c r="O194" s="3088"/>
      <c r="P194" s="3088"/>
      <c r="Q194" s="3088"/>
      <c r="R194" s="3093"/>
      <c r="S194" s="3088"/>
      <c r="T194" s="1699"/>
      <c r="U194" s="1699"/>
      <c r="V194" s="1766"/>
      <c r="W194" s="1213"/>
    </row>
    <row r="195" spans="1:63" ht="16.5" customHeight="1">
      <c r="A195" s="1754"/>
      <c r="B195" s="1755"/>
      <c r="C195" s="1759"/>
      <c r="D195" s="3084"/>
      <c r="E195" s="3134"/>
      <c r="F195" s="3134"/>
      <c r="G195" s="3067"/>
      <c r="H195" s="3100"/>
      <c r="I195" s="3102"/>
      <c r="J195" s="3104"/>
      <c r="K195" s="3089"/>
      <c r="L195" s="3089"/>
      <c r="M195" s="3089"/>
      <c r="N195" s="3091"/>
      <c r="O195" s="3089"/>
      <c r="P195" s="3089"/>
      <c r="Q195" s="3089"/>
      <c r="R195" s="3092"/>
      <c r="S195" s="3089"/>
      <c r="T195" s="1214"/>
      <c r="U195" s="1214"/>
      <c r="V195" s="1214"/>
      <c r="W195" s="1215"/>
    </row>
    <row r="196" spans="1:63" ht="17.25" customHeight="1">
      <c r="A196" s="1754"/>
      <c r="B196" s="1755"/>
      <c r="C196" s="1759"/>
      <c r="D196" s="3084"/>
      <c r="E196" s="3134"/>
      <c r="F196" s="3134"/>
      <c r="G196" s="3067"/>
      <c r="H196" s="3100"/>
      <c r="I196" s="3102"/>
      <c r="J196" s="3105"/>
      <c r="K196" s="3089"/>
      <c r="L196" s="3089"/>
      <c r="M196" s="3089"/>
      <c r="N196" s="3092"/>
      <c r="O196" s="3089"/>
      <c r="P196" s="1702"/>
      <c r="Q196" s="1214"/>
      <c r="R196" s="1214"/>
      <c r="S196" s="1767"/>
      <c r="T196" s="1767"/>
      <c r="U196" s="1767"/>
      <c r="V196" s="1767"/>
      <c r="W196" s="1215"/>
    </row>
    <row r="197" spans="1:63" ht="17.25" customHeight="1">
      <c r="A197" s="1754"/>
      <c r="B197" s="1755"/>
      <c r="C197" s="1759"/>
      <c r="D197" s="3084"/>
      <c r="E197" s="3134"/>
      <c r="F197" s="3134"/>
      <c r="G197" s="3067"/>
      <c r="H197" s="3100"/>
      <c r="I197" s="3102"/>
      <c r="J197" s="3105"/>
      <c r="K197" s="3089"/>
      <c r="L197" s="1214"/>
      <c r="M197" s="1214"/>
      <c r="N197" s="1214"/>
      <c r="O197" s="1214"/>
      <c r="P197" s="1214"/>
      <c r="Q197" s="1214"/>
      <c r="R197" s="1214"/>
      <c r="S197" s="1767"/>
      <c r="T197" s="1767"/>
      <c r="U197" s="1767"/>
      <c r="V197" s="1767"/>
      <c r="W197" s="1215"/>
    </row>
    <row r="198" spans="1:63" ht="17.25" customHeight="1">
      <c r="A198" s="1754"/>
      <c r="B198" s="1755"/>
      <c r="C198" s="1759"/>
      <c r="D198" s="3084"/>
      <c r="E198" s="3134"/>
      <c r="F198" s="3134"/>
      <c r="G198" s="3067"/>
      <c r="H198" s="1216"/>
      <c r="I198" s="1217"/>
      <c r="J198" s="1217"/>
      <c r="K198" s="1217"/>
      <c r="L198" s="1217"/>
      <c r="M198" s="1217"/>
      <c r="N198" s="1217"/>
      <c r="O198" s="1217"/>
      <c r="P198" s="1217"/>
      <c r="Q198" s="1217"/>
      <c r="R198" s="1217"/>
      <c r="S198" s="1768"/>
      <c r="T198" s="1768"/>
      <c r="U198" s="1768"/>
      <c r="V198" s="1768"/>
      <c r="W198" s="1219"/>
    </row>
    <row r="200" spans="1:63" s="3007" customFormat="1" ht="17.25" customHeight="1">
      <c r="A200" s="1731" t="s">
        <v>1973</v>
      </c>
    </row>
    <row r="201" spans="1:63" ht="17.25" customHeight="1">
      <c r="G201" s="1753"/>
      <c r="H201" s="1753"/>
      <c r="I201" s="1753"/>
      <c r="M201" s="1749"/>
    </row>
    <row r="202" spans="1:63" s="2021" customFormat="1" ht="15" customHeight="1">
      <c r="D202" s="3406"/>
      <c r="E202" s="3149"/>
      <c r="F202" s="3149"/>
      <c r="G202" s="3078"/>
      <c r="H202" s="1481"/>
      <c r="I202" s="3410">
        <v>1</v>
      </c>
      <c r="J202" s="3081"/>
      <c r="K202" s="1496"/>
      <c r="L202" s="3078" t="s">
        <v>67</v>
      </c>
      <c r="M202" s="3078" t="s">
        <v>67</v>
      </c>
      <c r="N202" s="1481"/>
      <c r="O202" s="3049" t="s">
        <v>124</v>
      </c>
      <c r="P202" s="3400"/>
      <c r="Q202" s="1497"/>
      <c r="R202" s="3078" t="s">
        <v>67</v>
      </c>
      <c r="S202" s="3078" t="s">
        <v>67</v>
      </c>
      <c r="T202" s="1769"/>
      <c r="U202" s="3049" t="s">
        <v>124</v>
      </c>
      <c r="V202" s="3407" t="str">
        <f>IF(AK202="","",INDEX(TERRITORY_MR_LIST,MATCH(AK202,TERRITORY_LIST_ID,0)))</f>
        <v/>
      </c>
      <c r="W202" s="1498"/>
      <c r="X202" s="3078" t="s">
        <v>67</v>
      </c>
      <c r="Y202" s="3078" t="s">
        <v>19</v>
      </c>
      <c r="Z202" s="1481"/>
      <c r="AA202" s="3049" t="s">
        <v>124</v>
      </c>
      <c r="AB202" s="3409"/>
      <c r="AC202" s="1499"/>
      <c r="AD202" s="3078" t="s">
        <v>67</v>
      </c>
      <c r="AE202" s="3078" t="s">
        <v>19</v>
      </c>
      <c r="AF202" s="1479"/>
      <c r="AG202" s="1727" t="s">
        <v>124</v>
      </c>
      <c r="AH202" s="1489"/>
      <c r="AI202" s="1717"/>
    </row>
    <row r="203" spans="1:63" s="2021" customFormat="1" ht="15" customHeight="1">
      <c r="D203" s="3406"/>
      <c r="E203" s="3149"/>
      <c r="F203" s="3149"/>
      <c r="G203" s="3079"/>
      <c r="H203" s="1481"/>
      <c r="I203" s="3410"/>
      <c r="J203" s="3081"/>
      <c r="K203" s="1480"/>
      <c r="L203" s="3079"/>
      <c r="M203" s="3079"/>
      <c r="N203" s="1481"/>
      <c r="O203" s="3049"/>
      <c r="P203" s="3400"/>
      <c r="Q203" s="1477"/>
      <c r="R203" s="3079"/>
      <c r="S203" s="3079"/>
      <c r="T203" s="1769"/>
      <c r="U203" s="3049"/>
      <c r="V203" s="3408"/>
      <c r="W203" s="1478"/>
      <c r="X203" s="3079"/>
      <c r="Y203" s="3079"/>
      <c r="Z203" s="1481"/>
      <c r="AA203" s="3049"/>
      <c r="AB203" s="3385"/>
      <c r="AC203" s="1482"/>
      <c r="AD203" s="3053"/>
      <c r="AE203" s="3053"/>
      <c r="AF203" s="1483"/>
      <c r="AG203" s="1484"/>
      <c r="AH203" s="3401" t="s">
        <v>1974</v>
      </c>
      <c r="AI203" s="3402"/>
    </row>
    <row r="204" spans="1:63" s="2021" customFormat="1" ht="15" customHeight="1">
      <c r="D204" s="3406"/>
      <c r="E204" s="3149"/>
      <c r="F204" s="3149"/>
      <c r="G204" s="3079"/>
      <c r="H204" s="1481"/>
      <c r="I204" s="3410"/>
      <c r="J204" s="3081"/>
      <c r="K204" s="1480"/>
      <c r="L204" s="3079"/>
      <c r="M204" s="3079"/>
      <c r="N204" s="1481"/>
      <c r="O204" s="3049"/>
      <c r="P204" s="3400"/>
      <c r="Q204" s="1477"/>
      <c r="R204" s="3079"/>
      <c r="S204" s="3079"/>
      <c r="T204" s="1769"/>
      <c r="U204" s="3049"/>
      <c r="V204" s="3408"/>
      <c r="W204" s="1478"/>
      <c r="X204" s="3079"/>
      <c r="Y204" s="3079"/>
      <c r="Z204" s="1520"/>
      <c r="AA204" s="1486"/>
      <c r="AB204" s="3403" t="s">
        <v>1975</v>
      </c>
      <c r="AC204" s="3403"/>
      <c r="AD204" s="3403"/>
      <c r="AE204" s="3403"/>
      <c r="AF204" s="3403"/>
      <c r="AG204" s="3403"/>
      <c r="AH204" s="3403"/>
      <c r="AI204" s="3404"/>
    </row>
    <row r="205" spans="1:63" s="2021" customFormat="1" ht="15" customHeight="1">
      <c r="D205" s="3406"/>
      <c r="E205" s="3149"/>
      <c r="F205" s="3149"/>
      <c r="G205" s="3079"/>
      <c r="H205" s="1481"/>
      <c r="I205" s="3410"/>
      <c r="J205" s="3081"/>
      <c r="K205" s="1480"/>
      <c r="L205" s="3079"/>
      <c r="M205" s="3079"/>
      <c r="N205" s="1481"/>
      <c r="O205" s="3049"/>
      <c r="P205" s="3405"/>
      <c r="Q205" s="1477"/>
      <c r="R205" s="3079"/>
      <c r="S205" s="3079"/>
      <c r="T205" s="1770"/>
      <c r="U205" s="1521"/>
      <c r="V205" s="3401" t="s">
        <v>118</v>
      </c>
      <c r="W205" s="3401"/>
      <c r="X205" s="3401"/>
      <c r="Y205" s="3401"/>
      <c r="Z205" s="3401"/>
      <c r="AA205" s="3401"/>
      <c r="AB205" s="3401"/>
      <c r="AC205" s="3401"/>
      <c r="AD205" s="3401"/>
      <c r="AE205" s="3401"/>
      <c r="AF205" s="3401"/>
      <c r="AG205" s="3401"/>
      <c r="AH205" s="3401"/>
      <c r="AI205" s="3402"/>
    </row>
    <row r="206" spans="1:63" s="2021" customFormat="1" ht="11.25" customHeight="1">
      <c r="D206" s="3406"/>
      <c r="E206" s="3149"/>
      <c r="F206" s="3149"/>
      <c r="G206" s="3079"/>
      <c r="H206" s="1485"/>
      <c r="I206" s="3410"/>
      <c r="J206" s="3411"/>
      <c r="K206" s="1480"/>
      <c r="L206" s="3079"/>
      <c r="M206" s="3079"/>
      <c r="N206" s="1485"/>
      <c r="O206" s="1486"/>
      <c r="P206" s="3401" t="s">
        <v>1976</v>
      </c>
      <c r="Q206" s="3401"/>
      <c r="R206" s="3401"/>
      <c r="S206" s="3401"/>
      <c r="T206" s="3401"/>
      <c r="U206" s="3401"/>
      <c r="V206" s="3401"/>
      <c r="W206" s="3401"/>
      <c r="X206" s="3401"/>
      <c r="Y206" s="3401"/>
      <c r="Z206" s="3401"/>
      <c r="AA206" s="3401"/>
      <c r="AB206" s="3401"/>
      <c r="AC206" s="3401"/>
      <c r="AD206" s="3401"/>
      <c r="AE206" s="3401"/>
      <c r="AF206" s="3401"/>
      <c r="AG206" s="3401"/>
      <c r="AH206" s="3401"/>
      <c r="AI206" s="3402"/>
    </row>
    <row r="207" spans="1:63" s="2202" customFormat="1" ht="11.25" customHeight="1">
      <c r="D207" s="3406"/>
      <c r="E207" s="3149"/>
      <c r="F207" s="3149"/>
      <c r="G207" s="3053"/>
      <c r="H207" s="1487"/>
      <c r="I207" s="1488"/>
      <c r="J207" s="3401" t="s">
        <v>189</v>
      </c>
      <c r="K207" s="3401"/>
      <c r="L207" s="3401"/>
      <c r="M207" s="3401"/>
      <c r="N207" s="3401"/>
      <c r="O207" s="3401"/>
      <c r="P207" s="3401"/>
      <c r="Q207" s="3401"/>
      <c r="R207" s="3401"/>
      <c r="S207" s="3401"/>
      <c r="T207" s="3401"/>
      <c r="U207" s="3401"/>
      <c r="V207" s="3401"/>
      <c r="W207" s="3401"/>
      <c r="X207" s="3401"/>
      <c r="Y207" s="3401"/>
      <c r="Z207" s="3401"/>
      <c r="AA207" s="3401"/>
      <c r="AB207" s="3401"/>
      <c r="AC207" s="3401"/>
      <c r="AD207" s="3401"/>
      <c r="AE207" s="3401"/>
      <c r="AF207" s="3401"/>
      <c r="AG207" s="3401"/>
      <c r="AH207" s="3401"/>
      <c r="AI207" s="3402"/>
      <c r="BK207" s="1491"/>
    </row>
    <row r="208" spans="1:63" ht="17.25" customHeight="1">
      <c r="G208" s="1753"/>
      <c r="I208" s="1753"/>
      <c r="J208" s="1753"/>
      <c r="N208" s="1749"/>
    </row>
    <row r="209" spans="1:63" s="2021" customFormat="1" ht="15" customHeight="1">
      <c r="D209" s="3406"/>
      <c r="E209" s="3149"/>
      <c r="F209" s="3149"/>
      <c r="G209" s="3134"/>
      <c r="H209" s="1516"/>
      <c r="I209" s="3136"/>
      <c r="J209" s="3103"/>
      <c r="K209" s="1701"/>
      <c r="L209" s="3088"/>
      <c r="M209" s="3088"/>
      <c r="N209" s="1501"/>
      <c r="O209" s="3088"/>
      <c r="P209" s="3103"/>
      <c r="Q209" s="1705"/>
      <c r="R209" s="3088"/>
      <c r="S209" s="3088"/>
      <c r="T209" s="1771"/>
      <c r="U209" s="3088"/>
      <c r="V209" s="3103"/>
      <c r="W209" s="1504"/>
      <c r="X209" s="3088"/>
      <c r="Y209" s="3088"/>
      <c r="Z209" s="1501"/>
      <c r="AA209" s="3088"/>
      <c r="AB209" s="3103"/>
      <c r="AC209" s="1505"/>
      <c r="AD209" s="3088"/>
      <c r="AE209" s="3088"/>
      <c r="AF209" s="1699"/>
      <c r="AG209" s="1699"/>
      <c r="AH209" s="1506"/>
      <c r="AI209" s="1213"/>
    </row>
    <row r="210" spans="1:63" s="2021" customFormat="1" ht="15" customHeight="1">
      <c r="D210" s="3406"/>
      <c r="E210" s="3149"/>
      <c r="F210" s="3149"/>
      <c r="G210" s="3134"/>
      <c r="H210" s="1517"/>
      <c r="I210" s="3137"/>
      <c r="J210" s="3104"/>
      <c r="K210" s="1527"/>
      <c r="L210" s="3089"/>
      <c r="M210" s="3089"/>
      <c r="N210" s="1507"/>
      <c r="O210" s="3089"/>
      <c r="P210" s="3104"/>
      <c r="Q210" s="1706"/>
      <c r="R210" s="3089"/>
      <c r="S210" s="3089"/>
      <c r="T210" s="1772"/>
      <c r="U210" s="3089"/>
      <c r="V210" s="3104"/>
      <c r="W210" s="1510"/>
      <c r="X210" s="3089"/>
      <c r="Y210" s="3089"/>
      <c r="Z210" s="1507"/>
      <c r="AA210" s="3089"/>
      <c r="AB210" s="3104"/>
      <c r="AC210" s="1511"/>
      <c r="AD210" s="3089"/>
      <c r="AE210" s="3089"/>
      <c r="AF210" s="1704"/>
      <c r="AG210" s="1704"/>
      <c r="AH210" s="3132"/>
      <c r="AI210" s="3133"/>
    </row>
    <row r="211" spans="1:63" s="2021" customFormat="1" ht="15" customHeight="1">
      <c r="D211" s="3406"/>
      <c r="E211" s="3149"/>
      <c r="F211" s="3149"/>
      <c r="G211" s="3134"/>
      <c r="H211" s="1517"/>
      <c r="I211" s="3137"/>
      <c r="J211" s="3104"/>
      <c r="K211" s="1527"/>
      <c r="L211" s="3089"/>
      <c r="M211" s="3089"/>
      <c r="N211" s="1507"/>
      <c r="O211" s="3089"/>
      <c r="P211" s="3104"/>
      <c r="Q211" s="1706"/>
      <c r="R211" s="3089"/>
      <c r="S211" s="3089"/>
      <c r="T211" s="1772"/>
      <c r="U211" s="3089"/>
      <c r="V211" s="3104"/>
      <c r="W211" s="1510"/>
      <c r="X211" s="3089"/>
      <c r="Y211" s="3089"/>
      <c r="Z211" s="1702"/>
      <c r="AA211" s="1704"/>
      <c r="AB211" s="3132"/>
      <c r="AC211" s="3132"/>
      <c r="AD211" s="3132"/>
      <c r="AE211" s="3132"/>
      <c r="AF211" s="3132"/>
      <c r="AG211" s="3132"/>
      <c r="AH211" s="3132"/>
      <c r="AI211" s="3133"/>
    </row>
    <row r="212" spans="1:63" s="2021" customFormat="1" ht="15" customHeight="1">
      <c r="D212" s="3406"/>
      <c r="E212" s="3149"/>
      <c r="F212" s="3149"/>
      <c r="G212" s="3134"/>
      <c r="H212" s="1517"/>
      <c r="I212" s="3137"/>
      <c r="J212" s="3104"/>
      <c r="K212" s="1527"/>
      <c r="L212" s="3089"/>
      <c r="M212" s="3089"/>
      <c r="N212" s="1507"/>
      <c r="O212" s="3089"/>
      <c r="P212" s="3104"/>
      <c r="Q212" s="1706"/>
      <c r="R212" s="3089"/>
      <c r="S212" s="3089"/>
      <c r="T212" s="1773"/>
      <c r="U212" s="1514"/>
      <c r="V212" s="3132"/>
      <c r="W212" s="3132"/>
      <c r="X212" s="3132"/>
      <c r="Y212" s="3132"/>
      <c r="Z212" s="3132"/>
      <c r="AA212" s="3132"/>
      <c r="AB212" s="3132"/>
      <c r="AC212" s="3132"/>
      <c r="AD212" s="3132"/>
      <c r="AE212" s="3132"/>
      <c r="AF212" s="3132"/>
      <c r="AG212" s="3132"/>
      <c r="AH212" s="3132"/>
      <c r="AI212" s="3133"/>
    </row>
    <row r="213" spans="1:63" s="2021" customFormat="1" ht="11.25" customHeight="1">
      <c r="D213" s="3406"/>
      <c r="E213" s="3149"/>
      <c r="F213" s="3149"/>
      <c r="G213" s="3134"/>
      <c r="H213" s="1518"/>
      <c r="I213" s="3137"/>
      <c r="J213" s="3104"/>
      <c r="K213" s="1527"/>
      <c r="L213" s="3089"/>
      <c r="M213" s="3089"/>
      <c r="N213" s="1704"/>
      <c r="O213" s="1704"/>
      <c r="P213" s="3132"/>
      <c r="Q213" s="3132"/>
      <c r="R213" s="3132"/>
      <c r="S213" s="3132"/>
      <c r="T213" s="3132"/>
      <c r="U213" s="3132"/>
      <c r="V213" s="3132"/>
      <c r="W213" s="3132"/>
      <c r="X213" s="3132"/>
      <c r="Y213" s="3132"/>
      <c r="Z213" s="3132"/>
      <c r="AA213" s="3132"/>
      <c r="AB213" s="3132"/>
      <c r="AC213" s="3132"/>
      <c r="AD213" s="3132"/>
      <c r="AE213" s="3132"/>
      <c r="AF213" s="3132"/>
      <c r="AG213" s="3132"/>
      <c r="AH213" s="3132"/>
      <c r="AI213" s="3133"/>
    </row>
    <row r="214" spans="1:63" s="2202" customFormat="1" ht="11.25" customHeight="1">
      <c r="D214" s="3406"/>
      <c r="E214" s="3149"/>
      <c r="F214" s="3149"/>
      <c r="G214" s="3139"/>
      <c r="H214" s="1515"/>
      <c r="I214" s="1519"/>
      <c r="J214" s="3140"/>
      <c r="K214" s="3140"/>
      <c r="L214" s="3140"/>
      <c r="M214" s="3140"/>
      <c r="N214" s="3140"/>
      <c r="O214" s="3140"/>
      <c r="P214" s="3140"/>
      <c r="Q214" s="3140"/>
      <c r="R214" s="3140"/>
      <c r="S214" s="3140"/>
      <c r="T214" s="3140"/>
      <c r="U214" s="3140"/>
      <c r="V214" s="3140"/>
      <c r="W214" s="3140"/>
      <c r="X214" s="3140"/>
      <c r="Y214" s="3140"/>
      <c r="Z214" s="3140"/>
      <c r="AA214" s="3140"/>
      <c r="AB214" s="3140"/>
      <c r="AC214" s="3140"/>
      <c r="AD214" s="3140"/>
      <c r="AE214" s="3140"/>
      <c r="AF214" s="3140"/>
      <c r="AG214" s="3140"/>
      <c r="AH214" s="3140"/>
      <c r="AI214" s="3141"/>
      <c r="BK214" s="1491"/>
    </row>
    <row r="215" spans="1:63" ht="17.25" customHeight="1">
      <c r="A215" s="1764"/>
    </row>
  </sheetData>
  <sheetProtection formatColumns="0" formatRows="0" insertRows="0" deleteColumns="0" deleteRows="0" sort="0" autoFilter="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xr:uid="{00000000-0002-0000-3C00-00000000000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xr:uid="{00000000-0002-0000-3C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xr:uid="{00000000-0002-0000-3C00-000002000000}"/>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xr:uid="{00000000-0002-0000-3C00-00000300000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xr:uid="{00000000-0002-0000-3C00-00000400000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xr:uid="{00000000-0002-0000-3C00-000005000000}">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xr:uid="{00000000-0002-0000-3C00-000006000000}">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xr:uid="{00000000-0002-0000-3C00-000007000000}">
      <formula1>"a"</formula1>
    </dataValidation>
    <dataValidation type="textLength" operator="lessThan" allowBlank="1" showInputMessage="1" showErrorMessage="1" error="Допускается ввод не более 900 символов!" sqref="M29 M23" xr:uid="{00000000-0002-0000-3C00-000008000000}">
      <formula1>900</formula1>
    </dataValidation>
    <dataValidation type="list" allowBlank="1" showInputMessage="1" showErrorMessage="1" sqref="I34" xr:uid="{00000000-0002-0000-3C00-000009000000}">
      <formula1>DESCRIPTION_TERRITORY</formula1>
    </dataValidation>
    <dataValidation allowBlank="1" showInputMessage="1" showErrorMessage="1" prompt="Изменение значения по двойному щелчоку левой кнопки мыши" sqref="J56" xr:uid="{00000000-0002-0000-3C00-00000A000000}"/>
    <dataValidation type="list" allowBlank="1" showInputMessage="1" showErrorMessage="1" errorTitle="Ошибка" error="Выберите значение из списка" prompt="Выберите значение из списка" sqref="L60" xr:uid="{00000000-0002-0000-3C00-00000B00000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xr:uid="{00000000-0002-0000-3C00-00000C00000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xr:uid="{00000000-0002-0000-3C00-00000D000000}"/>
    <dataValidation allowBlank="1" showInputMessage="1" showErrorMessage="1" promptTitle="Ввод" prompt="Для выбора ИП необходимо два раза нажать левую кнопку мыши!" sqref="G72 G77" xr:uid="{00000000-0002-0000-3C00-00000E000000}"/>
    <dataValidation type="list" allowBlank="1" showInputMessage="1" showErrorMessage="1" errorTitle="Ошибка" error="Выберите значение из списка" prompt="Выберите значение из списка" sqref="J140:J141 J147:J148 J150" xr:uid="{00000000-0002-0000-3C00-00000F000000}">
      <formula1>kind_of_purchase_method</formula1>
    </dataValidation>
    <dataValidation type="list" allowBlank="1" showInputMessage="1" showErrorMessage="1" errorTitle="Ошибка" error="Выберите значение из списка" prompt="Выберите значение из списка" sqref="H110" xr:uid="{00000000-0002-0000-3C00-00001000000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xr:uid="{00000000-0002-0000-3C00-000011000000}"/>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xr:uid="{00000000-0002-0000-3C00-000012000000}">
      <formula1>list_typeTKO</formula1>
    </dataValidation>
    <dataValidation type="decimal" allowBlank="1" showErrorMessage="1" errorTitle="Ошибка" error="Допускается ввод только действительных чисел!" sqref="CY110:DJ110 BT110:CK110 O110:AB110" xr:uid="{00000000-0002-0000-3C00-000013000000}">
      <formula1>-9.99999999999999E+23</formula1>
      <formula2>9.99999999999999E+23</formula2>
    </dataValidation>
  </dataValidations>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B49FEB-2082-C66B-171D-D8FFE59C020B}">
  <sheetPr>
    <tabColor rgb="FFFFCC99"/>
  </sheetPr>
  <dimension ref="A1:H34"/>
  <sheetViews>
    <sheetView showGridLines="0" workbookViewId="0"/>
  </sheetViews>
  <sheetFormatPr defaultColWidth="43.09765625" defaultRowHeight="9" customHeight="1"/>
  <cols>
    <col min="1" max="1" width="43.09765625" style="3009"/>
    <col min="2" max="2" width="43.09765625" style="3009" hidden="1"/>
    <col min="3" max="3" width="43.09765625" style="3009"/>
    <col min="4" max="5" width="36.3984375" style="3009" customWidth="1"/>
    <col min="6" max="8" width="36.3984375" style="3010" customWidth="1"/>
  </cols>
  <sheetData>
    <row r="1" spans="1:8" ht="9" customHeight="1">
      <c r="A1" s="771" t="s">
        <v>1977</v>
      </c>
      <c r="B1" s="771"/>
      <c r="C1" s="904" t="s">
        <v>1978</v>
      </c>
      <c r="D1" s="903" t="s">
        <v>840</v>
      </c>
      <c r="E1" s="903" t="s">
        <v>886</v>
      </c>
      <c r="F1" s="903" t="s">
        <v>939</v>
      </c>
      <c r="G1" s="903" t="s">
        <v>926</v>
      </c>
      <c r="H1" s="903" t="s">
        <v>1651</v>
      </c>
    </row>
    <row r="2" spans="1:8" ht="9" customHeight="1">
      <c r="A2" s="905" t="s">
        <v>1979</v>
      </c>
      <c r="B2" s="905"/>
      <c r="C2" s="906" t="str">
        <f>INDEX(TEMPLATE_NUMBER_FORM_LIST,MATCH(TEMPLATE_SPHERE,TEMPLATE_SPHERE_LIST,0))</f>
        <v>16</v>
      </c>
      <c r="D2" s="905" t="s">
        <v>1501</v>
      </c>
      <c r="E2" s="905" t="s">
        <v>162</v>
      </c>
      <c r="F2" s="907" t="s">
        <v>162</v>
      </c>
      <c r="G2" s="905" t="s">
        <v>162</v>
      </c>
      <c r="H2" s="908"/>
    </row>
    <row r="3" spans="1:8" ht="63" customHeight="1">
      <c r="A3" s="771"/>
      <c r="B3" s="771" t="s">
        <v>124</v>
      </c>
      <c r="C3" s="906"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06" t="s">
        <v>1980</v>
      </c>
      <c r="E3" s="906"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07"/>
      <c r="G3" s="908"/>
      <c r="H3" s="771"/>
    </row>
    <row r="4" spans="1:8" ht="243" customHeight="1">
      <c r="A4" s="771" t="s">
        <v>1981</v>
      </c>
      <c r="B4" s="771" t="s">
        <v>104</v>
      </c>
      <c r="C4" s="906"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05" t="s">
        <v>1982</v>
      </c>
      <c r="E4" s="906"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05"/>
      <c r="G4" s="905"/>
      <c r="H4" s="771" t="s">
        <v>1983</v>
      </c>
    </row>
    <row r="5" spans="1:8" ht="117" customHeight="1">
      <c r="A5" s="771" t="s">
        <v>1984</v>
      </c>
      <c r="B5" s="771" t="s">
        <v>91</v>
      </c>
      <c r="C5" s="906"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771" t="s">
        <v>1985</v>
      </c>
      <c r="E5" s="774"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08"/>
      <c r="G5" s="908"/>
      <c r="H5" s="771" t="s">
        <v>1986</v>
      </c>
    </row>
    <row r="6" spans="1:8" ht="90" customHeight="1">
      <c r="A6" s="771" t="s">
        <v>1987</v>
      </c>
      <c r="B6" s="771" t="s">
        <v>92</v>
      </c>
      <c r="C6" s="906"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774"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774"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771"/>
      <c r="G6" s="771"/>
      <c r="H6" s="908"/>
    </row>
    <row r="7" spans="1:8" ht="45" customHeight="1">
      <c r="A7" s="771" t="s">
        <v>1988</v>
      </c>
      <c r="B7" s="771" t="s">
        <v>125</v>
      </c>
      <c r="C7" s="906" t="str">
        <f>IF(TEMPLATE_SPHERE="HEAT",D7,E7)</f>
        <v>Форма 11. Информация о расходах на капитальный и текущий ремонт основных средств</v>
      </c>
      <c r="D7" s="771" t="s">
        <v>1989</v>
      </c>
      <c r="E7" s="771" t="s">
        <v>1990</v>
      </c>
      <c r="F7" s="908"/>
      <c r="G7" s="908"/>
      <c r="H7" s="908"/>
    </row>
    <row r="8" spans="1:8" ht="108" customHeight="1">
      <c r="A8" s="771" t="s">
        <v>1991</v>
      </c>
      <c r="B8" s="771" t="s">
        <v>93</v>
      </c>
      <c r="C8" s="906"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771" t="s">
        <v>1192</v>
      </c>
      <c r="E8" s="771" t="s">
        <v>1992</v>
      </c>
      <c r="F8" s="908"/>
      <c r="G8" s="908"/>
      <c r="H8" s="908"/>
    </row>
    <row r="9" spans="1:8" ht="99" customHeight="1">
      <c r="A9" s="771" t="s">
        <v>1993</v>
      </c>
      <c r="B9" s="771"/>
      <c r="C9" s="771" t="s">
        <v>1994</v>
      </c>
      <c r="D9" s="771"/>
      <c r="E9" s="771"/>
      <c r="F9" s="908"/>
      <c r="G9" s="908"/>
      <c r="H9" s="908"/>
    </row>
    <row r="10" spans="1:8" ht="126" customHeight="1">
      <c r="A10" s="771" t="s">
        <v>1995</v>
      </c>
      <c r="B10" s="771"/>
      <c r="C10" s="771" t="s">
        <v>1996</v>
      </c>
      <c r="D10" s="771"/>
      <c r="E10" s="771"/>
      <c r="F10" s="908"/>
      <c r="G10" s="908"/>
      <c r="H10" s="908"/>
    </row>
    <row r="11" spans="1:8" ht="108" customHeight="1">
      <c r="A11" s="771" t="s">
        <v>1997</v>
      </c>
      <c r="B11" s="771"/>
      <c r="C11" s="771" t="s">
        <v>1998</v>
      </c>
      <c r="D11" s="771"/>
      <c r="E11" s="771"/>
      <c r="F11" s="908"/>
      <c r="G11" s="908"/>
      <c r="H11" s="908"/>
    </row>
    <row r="12" spans="1:8" ht="54" customHeight="1">
      <c r="A12" s="771" t="s">
        <v>1999</v>
      </c>
      <c r="B12" s="771"/>
      <c r="C12" s="771" t="s">
        <v>2000</v>
      </c>
      <c r="D12" s="771"/>
      <c r="E12" s="771"/>
      <c r="F12" s="908"/>
      <c r="G12" s="908"/>
      <c r="H12" s="908"/>
    </row>
    <row r="13" spans="1:8" ht="45" customHeight="1">
      <c r="A13" s="771" t="s">
        <v>2001</v>
      </c>
      <c r="B13" s="771"/>
      <c r="C13" s="771" t="s">
        <v>2002</v>
      </c>
      <c r="D13" s="771"/>
      <c r="E13" s="771"/>
      <c r="F13" s="908"/>
      <c r="G13" s="908"/>
      <c r="H13" s="908"/>
    </row>
    <row r="14" spans="1:8" ht="117" customHeight="1">
      <c r="A14" s="771" t="s">
        <v>2003</v>
      </c>
      <c r="B14" s="771"/>
      <c r="C14" s="771" t="s">
        <v>2004</v>
      </c>
      <c r="D14" s="771"/>
      <c r="E14" s="771"/>
      <c r="F14" s="908"/>
      <c r="G14" s="908"/>
      <c r="H14" s="908"/>
    </row>
    <row r="15" spans="1:8" ht="117" customHeight="1">
      <c r="A15" s="771" t="s">
        <v>2005</v>
      </c>
      <c r="B15" s="771"/>
      <c r="C15" s="771" t="s">
        <v>2006</v>
      </c>
      <c r="D15" s="771"/>
      <c r="E15" s="771"/>
      <c r="F15" s="908"/>
      <c r="G15" s="908"/>
      <c r="H15" s="908"/>
    </row>
    <row r="16" spans="1:8" ht="63" customHeight="1">
      <c r="A16" s="771" t="s">
        <v>2007</v>
      </c>
      <c r="B16" s="771"/>
      <c r="C16" s="771" t="s">
        <v>2008</v>
      </c>
      <c r="D16" s="771"/>
      <c r="E16" s="771"/>
      <c r="F16" s="908"/>
      <c r="G16" s="908"/>
      <c r="H16" s="908"/>
    </row>
    <row r="17" spans="1:8" ht="54" customHeight="1">
      <c r="A17" s="771" t="s">
        <v>2009</v>
      </c>
      <c r="B17" s="771"/>
      <c r="C17" s="906" t="s">
        <v>2010</v>
      </c>
      <c r="D17" s="771"/>
      <c r="E17" s="771"/>
      <c r="F17" s="908"/>
      <c r="G17" s="908"/>
      <c r="H17" s="908"/>
    </row>
    <row r="18" spans="1:8" ht="27" customHeight="1">
      <c r="A18" s="771" t="s">
        <v>2011</v>
      </c>
      <c r="B18" s="771"/>
      <c r="C18" s="906" t="s">
        <v>2012</v>
      </c>
      <c r="D18" s="771"/>
      <c r="E18" s="771"/>
      <c r="F18" s="908"/>
      <c r="G18" s="908"/>
      <c r="H18" s="908"/>
    </row>
    <row r="19" spans="1:8" ht="54" customHeight="1">
      <c r="A19" s="771" t="s">
        <v>2013</v>
      </c>
      <c r="B19" s="771"/>
      <c r="C19" s="906" t="s">
        <v>2014</v>
      </c>
      <c r="D19" s="771"/>
      <c r="E19" s="771"/>
      <c r="F19" s="908"/>
      <c r="G19" s="908"/>
      <c r="H19" s="908"/>
    </row>
    <row r="20" spans="1:8" ht="36" customHeight="1">
      <c r="A20" s="771" t="s">
        <v>2015</v>
      </c>
      <c r="B20" s="771"/>
      <c r="C20" s="906" t="s">
        <v>2016</v>
      </c>
      <c r="D20" s="771"/>
      <c r="E20" s="771"/>
      <c r="F20" s="908"/>
      <c r="G20" s="908"/>
      <c r="H20" s="908"/>
    </row>
    <row r="21" spans="1:8" ht="36" customHeight="1">
      <c r="A21" s="771" t="s">
        <v>2017</v>
      </c>
      <c r="B21" s="771"/>
      <c r="C21" s="906" t="s">
        <v>2018</v>
      </c>
      <c r="D21" s="771"/>
      <c r="E21" s="771"/>
      <c r="F21" s="908"/>
      <c r="G21" s="908"/>
      <c r="H21" s="908"/>
    </row>
    <row r="22" spans="1:8" ht="27" customHeight="1">
      <c r="A22" s="771" t="s">
        <v>2019</v>
      </c>
      <c r="B22" s="771"/>
      <c r="C22" s="906" t="s">
        <v>2020</v>
      </c>
      <c r="D22" s="771"/>
      <c r="E22" s="771"/>
      <c r="F22" s="908"/>
      <c r="G22" s="908"/>
      <c r="H22" s="908"/>
    </row>
    <row r="23" spans="1:8" ht="36" customHeight="1">
      <c r="A23" s="771" t="s">
        <v>2021</v>
      </c>
      <c r="B23" s="771"/>
      <c r="C23" s="906" t="s">
        <v>2022</v>
      </c>
      <c r="D23" s="771"/>
      <c r="E23" s="771"/>
      <c r="F23" s="908"/>
      <c r="G23" s="908"/>
      <c r="H23" s="908"/>
    </row>
    <row r="24" spans="1:8" ht="28.5" customHeight="1">
      <c r="A24" s="771" t="s">
        <v>2023</v>
      </c>
      <c r="B24" s="771"/>
      <c r="C24" s="906" t="s">
        <v>2024</v>
      </c>
      <c r="D24" s="771"/>
      <c r="E24" s="771"/>
      <c r="F24" s="908"/>
      <c r="G24" s="908"/>
      <c r="H24" s="908"/>
    </row>
    <row r="25" spans="1:8" ht="36" customHeight="1">
      <c r="A25" s="771" t="s">
        <v>2025</v>
      </c>
      <c r="B25" s="771"/>
      <c r="C25" s="906" t="s">
        <v>2026</v>
      </c>
      <c r="D25" s="771"/>
      <c r="E25" s="771"/>
      <c r="F25" s="908"/>
      <c r="G25" s="908"/>
      <c r="H25" s="908"/>
    </row>
    <row r="26" spans="1:8" ht="27" customHeight="1">
      <c r="A26" s="771" t="s">
        <v>2027</v>
      </c>
      <c r="B26" s="771"/>
      <c r="C26" s="906" t="s">
        <v>2028</v>
      </c>
      <c r="D26" s="771"/>
      <c r="E26" s="771"/>
      <c r="F26" s="908"/>
      <c r="G26" s="908"/>
      <c r="H26" s="908"/>
    </row>
    <row r="27" spans="1:8" ht="36" customHeight="1">
      <c r="A27" s="771" t="s">
        <v>2029</v>
      </c>
      <c r="B27" s="771"/>
      <c r="C27" s="906" t="s">
        <v>2030</v>
      </c>
      <c r="D27" s="771"/>
      <c r="E27" s="771"/>
      <c r="F27" s="908"/>
      <c r="G27" s="908"/>
      <c r="H27" s="908"/>
    </row>
    <row r="28" spans="1:8" ht="28.5" customHeight="1">
      <c r="A28" s="771" t="s">
        <v>2031</v>
      </c>
      <c r="B28" s="771"/>
      <c r="C28" s="906" t="s">
        <v>2032</v>
      </c>
      <c r="D28" s="771"/>
      <c r="E28" s="771"/>
      <c r="F28" s="908"/>
      <c r="G28" s="908"/>
      <c r="H28" s="908"/>
    </row>
    <row r="29" spans="1:8" ht="126" customHeight="1">
      <c r="A29" s="771" t="s">
        <v>2033</v>
      </c>
      <c r="B29" s="771" t="s">
        <v>1602</v>
      </c>
      <c r="C29" s="906"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771" t="s">
        <v>2034</v>
      </c>
      <c r="E29" s="774"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08"/>
      <c r="G29" s="908"/>
      <c r="H29" s="771" t="s">
        <v>2035</v>
      </c>
    </row>
    <row r="30" spans="1:8" ht="36" customHeight="1">
      <c r="A30" s="771" t="s">
        <v>2036</v>
      </c>
      <c r="B30" s="771"/>
      <c r="C30" s="906"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771" t="s">
        <v>2037</v>
      </c>
      <c r="E30" s="774"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08"/>
      <c r="G30" s="908"/>
      <c r="H30" s="908"/>
    </row>
    <row r="31" spans="1:8" ht="54" customHeight="1">
      <c r="A31" s="771" t="s">
        <v>2038</v>
      </c>
      <c r="B31" s="771"/>
      <c r="C31" s="906"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771" t="s">
        <v>2039</v>
      </c>
      <c r="E31" s="774"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08"/>
      <c r="G31" s="908"/>
      <c r="H31" s="908"/>
    </row>
    <row r="32" spans="1:8" ht="198" customHeight="1">
      <c r="A32" s="771" t="s">
        <v>2040</v>
      </c>
      <c r="B32" s="771"/>
      <c r="C32" s="906"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771" t="s">
        <v>2041</v>
      </c>
      <c r="E32" s="774"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08"/>
      <c r="G32" s="908"/>
      <c r="H32" s="771" t="s">
        <v>2042</v>
      </c>
    </row>
    <row r="33" spans="1:8" ht="9" customHeight="1">
      <c r="A33" s="771"/>
      <c r="B33" s="771"/>
      <c r="C33" s="906"/>
      <c r="D33" s="771"/>
      <c r="E33" s="771"/>
      <c r="F33" s="908"/>
      <c r="G33" s="908"/>
      <c r="H33" s="908"/>
    </row>
    <row r="34" spans="1:8" ht="9" customHeight="1">
      <c r="A34" s="771"/>
      <c r="B34" s="771" t="s">
        <v>1539</v>
      </c>
      <c r="C34" s="906">
        <f>INDEX(TEMPLATE_NAME_FORM_LIST,B34,MATCH(TEMPLATE_SPHERE,TEMPLATE_SPHERE_LIST,0))</f>
        <v>0</v>
      </c>
      <c r="D34" s="771"/>
      <c r="E34" s="771"/>
      <c r="F34" s="908"/>
      <c r="G34" s="908"/>
      <c r="H34" s="908"/>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EFD9D1-4113-3B2B-C19A-0F45043F832E}">
  <sheetPr>
    <tabColor rgb="FFFFCC99"/>
  </sheetPr>
  <dimension ref="A1:AH154"/>
  <sheetViews>
    <sheetView showGridLines="0" workbookViewId="0"/>
  </sheetViews>
  <sheetFormatPr defaultColWidth="9.09765625" defaultRowHeight="9" customHeight="1"/>
  <cols>
    <col min="1" max="2" width="9.09765625" style="3009"/>
    <col min="3" max="7" width="8" style="3012" customWidth="1"/>
    <col min="8" max="12" width="8.59765625" style="3012" customWidth="1"/>
    <col min="13" max="14" width="27.69921875" style="3012" customWidth="1"/>
    <col min="15" max="19" width="5.09765625" style="3012" customWidth="1"/>
    <col min="20" max="24" width="27.69921875" style="3012" customWidth="1"/>
    <col min="25" max="25" width="1.796875" style="3013" customWidth="1"/>
    <col min="26" max="26" width="27.69921875" style="3009" customWidth="1"/>
    <col min="27" max="27" width="27.69921875" style="3014" customWidth="1"/>
    <col min="28" max="29" width="27.69921875" style="3009" customWidth="1"/>
    <col min="30" max="30" width="3.796875" style="3009" customWidth="1"/>
    <col min="31" max="34" width="9.09765625" style="3009"/>
  </cols>
  <sheetData>
    <row r="1" spans="1:34" s="3011" customFormat="1" ht="18" customHeight="1">
      <c r="A1" s="821"/>
      <c r="B1" s="821"/>
      <c r="C1" s="821" t="s">
        <v>2043</v>
      </c>
      <c r="D1" s="821"/>
      <c r="E1" s="821"/>
      <c r="F1" s="821"/>
      <c r="G1" s="821"/>
      <c r="H1" s="821" t="s">
        <v>2044</v>
      </c>
      <c r="I1" s="821"/>
      <c r="J1" s="821"/>
      <c r="K1" s="821"/>
      <c r="L1" s="821"/>
      <c r="M1" s="821" t="s">
        <v>2045</v>
      </c>
      <c r="N1" s="821" t="s">
        <v>2046</v>
      </c>
      <c r="O1" s="3457" t="s">
        <v>2047</v>
      </c>
      <c r="P1" s="3457"/>
      <c r="Q1" s="3457"/>
      <c r="R1" s="3457"/>
      <c r="S1" s="3457"/>
      <c r="T1" s="3457" t="s">
        <v>2045</v>
      </c>
      <c r="U1" s="3457"/>
      <c r="V1" s="3457"/>
      <c r="W1" s="3457"/>
      <c r="X1" s="3457"/>
      <c r="Y1" s="921"/>
      <c r="Z1" s="3457" t="s">
        <v>2048</v>
      </c>
      <c r="AA1" s="3457"/>
      <c r="AB1" s="3457"/>
      <c r="AC1" s="3457"/>
      <c r="AD1" s="3457"/>
    </row>
    <row r="2" spans="1:34" ht="18" customHeight="1">
      <c r="A2" s="771"/>
      <c r="B2" s="771"/>
      <c r="C2" s="767" t="s">
        <v>840</v>
      </c>
      <c r="D2" s="767" t="s">
        <v>886</v>
      </c>
      <c r="E2" s="767" t="s">
        <v>939</v>
      </c>
      <c r="F2" s="767" t="s">
        <v>926</v>
      </c>
      <c r="G2" s="767" t="s">
        <v>1651</v>
      </c>
      <c r="H2" s="768"/>
      <c r="I2" s="768"/>
      <c r="J2" s="768"/>
      <c r="K2" s="768"/>
      <c r="L2" s="768"/>
      <c r="M2" s="768"/>
      <c r="N2" s="768"/>
      <c r="O2" s="767" t="s">
        <v>840</v>
      </c>
      <c r="P2" s="767" t="s">
        <v>886</v>
      </c>
      <c r="Q2" s="767" t="s">
        <v>926</v>
      </c>
      <c r="R2" s="767" t="s">
        <v>939</v>
      </c>
      <c r="S2" s="767" t="s">
        <v>1651</v>
      </c>
      <c r="T2" s="767" t="s">
        <v>840</v>
      </c>
      <c r="U2" s="767" t="s">
        <v>886</v>
      </c>
      <c r="V2" s="767" t="s">
        <v>926</v>
      </c>
      <c r="W2" s="767" t="s">
        <v>939</v>
      </c>
      <c r="X2" s="767" t="s">
        <v>1651</v>
      </c>
      <c r="Y2" s="767"/>
      <c r="Z2" s="767" t="s">
        <v>840</v>
      </c>
      <c r="AA2" s="775" t="s">
        <v>886</v>
      </c>
      <c r="AB2" s="767" t="s">
        <v>926</v>
      </c>
      <c r="AC2" s="767" t="s">
        <v>939</v>
      </c>
      <c r="AD2" s="767" t="s">
        <v>1651</v>
      </c>
    </row>
    <row r="3" spans="1:34" ht="162" customHeight="1">
      <c r="A3" s="770" t="s">
        <v>26</v>
      </c>
      <c r="B3" s="770"/>
      <c r="C3" s="3461" t="s">
        <v>2049</v>
      </c>
      <c r="D3" s="3462"/>
      <c r="E3" s="3462"/>
      <c r="F3" s="3463"/>
      <c r="G3" s="768"/>
      <c r="H3" s="768"/>
      <c r="I3" s="768"/>
      <c r="J3" s="768"/>
      <c r="K3" s="768"/>
      <c r="L3" s="768"/>
      <c r="M3" s="768"/>
      <c r="N3" s="769"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768"/>
      <c r="P3" s="768"/>
      <c r="Q3" s="768"/>
      <c r="R3" s="768"/>
      <c r="S3" s="768"/>
      <c r="T3" s="768"/>
      <c r="U3" s="768"/>
      <c r="V3" s="768"/>
      <c r="W3" s="768"/>
      <c r="X3" s="768"/>
      <c r="Y3" s="922"/>
      <c r="Z3" s="771" t="s">
        <v>2050</v>
      </c>
      <c r="AA3" s="768" t="s">
        <v>2051</v>
      </c>
      <c r="AB3" s="771" t="s">
        <v>2052</v>
      </c>
      <c r="AC3" s="771" t="s">
        <v>2053</v>
      </c>
      <c r="AD3" s="771"/>
      <c r="AG3" s="771"/>
      <c r="AH3" s="771"/>
    </row>
    <row r="4" spans="1:34" ht="9" customHeight="1">
      <c r="A4" s="770"/>
      <c r="B4" s="770"/>
      <c r="C4" s="768"/>
      <c r="D4" s="768"/>
      <c r="E4" s="768"/>
      <c r="F4" s="768"/>
      <c r="G4" s="768"/>
      <c r="H4" s="768"/>
      <c r="I4" s="768"/>
      <c r="J4" s="768"/>
      <c r="K4" s="768"/>
      <c r="L4" s="768"/>
      <c r="M4" s="768"/>
      <c r="N4" s="768"/>
      <c r="O4" s="768"/>
      <c r="P4" s="768"/>
      <c r="Q4" s="768"/>
      <c r="R4" s="768"/>
      <c r="S4" s="768"/>
      <c r="T4" s="768"/>
      <c r="U4" s="768"/>
      <c r="V4" s="768"/>
      <c r="W4" s="768"/>
      <c r="X4" s="768"/>
      <c r="Y4" s="922"/>
      <c r="Z4" s="771"/>
      <c r="AA4" s="774"/>
      <c r="AB4" s="771"/>
      <c r="AC4" s="771"/>
      <c r="AD4" s="771"/>
    </row>
    <row r="5" spans="1:34" ht="9" customHeight="1">
      <c r="A5" s="770"/>
      <c r="B5" s="770"/>
      <c r="C5" s="768"/>
      <c r="D5" s="768"/>
      <c r="E5" s="768"/>
      <c r="F5" s="768"/>
      <c r="G5" s="768"/>
      <c r="H5" s="768"/>
      <c r="I5" s="768"/>
      <c r="J5" s="768"/>
      <c r="K5" s="768"/>
      <c r="L5" s="768"/>
      <c r="M5" s="768"/>
      <c r="N5" s="768"/>
      <c r="O5" s="768"/>
      <c r="P5" s="768"/>
      <c r="Q5" s="768"/>
      <c r="R5" s="768"/>
      <c r="S5" s="768"/>
      <c r="T5" s="768"/>
      <c r="U5" s="768"/>
      <c r="V5" s="768"/>
      <c r="W5" s="768"/>
      <c r="X5" s="768"/>
      <c r="Y5" s="922"/>
      <c r="Z5" s="771"/>
      <c r="AA5" s="774"/>
      <c r="AB5" s="771"/>
      <c r="AC5" s="771"/>
      <c r="AD5" s="771"/>
    </row>
    <row r="6" spans="1:34" ht="9" customHeight="1">
      <c r="A6" s="770"/>
      <c r="B6" s="770"/>
      <c r="C6" s="768"/>
      <c r="D6" s="768"/>
      <c r="E6" s="768"/>
      <c r="F6" s="768"/>
      <c r="G6" s="768"/>
      <c r="H6" s="768"/>
      <c r="I6" s="768"/>
      <c r="J6" s="768"/>
      <c r="K6" s="768"/>
      <c r="L6" s="768"/>
      <c r="M6" s="768"/>
      <c r="N6" s="768"/>
      <c r="O6" s="768"/>
      <c r="P6" s="768"/>
      <c r="Q6" s="768"/>
      <c r="R6" s="768"/>
      <c r="S6" s="768"/>
      <c r="T6" s="768"/>
      <c r="U6" s="768"/>
      <c r="V6" s="768"/>
      <c r="W6" s="768"/>
      <c r="X6" s="768"/>
      <c r="Y6" s="922"/>
      <c r="Z6" s="771"/>
      <c r="AA6" s="774"/>
      <c r="AB6" s="771"/>
      <c r="AC6" s="771"/>
      <c r="AD6" s="771"/>
    </row>
    <row r="7" spans="1:34" ht="9" customHeight="1">
      <c r="A7" s="770"/>
      <c r="B7" s="770"/>
      <c r="C7" s="768"/>
      <c r="D7" s="768"/>
      <c r="E7" s="768"/>
      <c r="F7" s="768"/>
      <c r="G7" s="768"/>
      <c r="H7" s="768"/>
      <c r="I7" s="768"/>
      <c r="J7" s="768"/>
      <c r="K7" s="768"/>
      <c r="L7" s="768"/>
      <c r="M7" s="768"/>
      <c r="N7" s="768"/>
      <c r="O7" s="768"/>
      <c r="P7" s="768"/>
      <c r="Q7" s="768"/>
      <c r="R7" s="768"/>
      <c r="S7" s="768"/>
      <c r="T7" s="768"/>
      <c r="U7" s="768"/>
      <c r="V7" s="768"/>
      <c r="W7" s="768"/>
      <c r="X7" s="768"/>
      <c r="Y7" s="922"/>
      <c r="Z7" s="771"/>
      <c r="AA7" s="774"/>
      <c r="AB7" s="771"/>
      <c r="AC7" s="771"/>
      <c r="AD7" s="771"/>
    </row>
    <row r="8" spans="1:34" ht="9" customHeight="1">
      <c r="A8" s="770"/>
      <c r="B8" s="770"/>
      <c r="C8" s="768"/>
      <c r="D8" s="768"/>
      <c r="E8" s="768"/>
      <c r="F8" s="768"/>
      <c r="G8" s="768"/>
      <c r="H8" s="768"/>
      <c r="I8" s="768"/>
      <c r="J8" s="768"/>
      <c r="K8" s="768"/>
      <c r="L8" s="768"/>
      <c r="M8" s="768"/>
      <c r="N8" s="768"/>
      <c r="O8" s="768"/>
      <c r="P8" s="768"/>
      <c r="Q8" s="768"/>
      <c r="R8" s="768"/>
      <c r="S8" s="768"/>
      <c r="T8" s="768"/>
      <c r="U8" s="768"/>
      <c r="V8" s="768"/>
      <c r="W8" s="768"/>
      <c r="X8" s="768"/>
      <c r="Y8" s="922"/>
      <c r="Z8" s="771"/>
      <c r="AA8" s="774"/>
      <c r="AB8" s="771"/>
      <c r="AC8" s="771"/>
      <c r="AD8" s="771"/>
    </row>
    <row r="9" spans="1:34" ht="9" customHeight="1">
      <c r="A9" s="770"/>
      <c r="B9" s="770"/>
      <c r="C9" s="768"/>
      <c r="D9" s="768"/>
      <c r="E9" s="768"/>
      <c r="F9" s="768"/>
      <c r="G9" s="768"/>
      <c r="H9" s="768"/>
      <c r="I9" s="768"/>
      <c r="J9" s="768"/>
      <c r="K9" s="768"/>
      <c r="L9" s="768"/>
      <c r="M9" s="768"/>
      <c r="N9" s="768"/>
      <c r="O9" s="768"/>
      <c r="P9" s="768"/>
      <c r="Q9" s="768"/>
      <c r="R9" s="768"/>
      <c r="S9" s="768"/>
      <c r="T9" s="768"/>
      <c r="U9" s="768"/>
      <c r="V9" s="768"/>
      <c r="W9" s="768"/>
      <c r="X9" s="768"/>
      <c r="Y9" s="922"/>
      <c r="Z9" s="771"/>
      <c r="AA9" s="774"/>
      <c r="AB9" s="771"/>
      <c r="AC9" s="771"/>
      <c r="AD9" s="771"/>
    </row>
    <row r="10" spans="1:34" ht="9" customHeight="1">
      <c r="A10" s="822"/>
      <c r="B10" s="822"/>
      <c r="C10" s="822"/>
      <c r="D10" s="822"/>
      <c r="E10" s="822"/>
      <c r="F10" s="822"/>
      <c r="G10" s="822"/>
      <c r="H10" s="822"/>
      <c r="I10" s="822"/>
      <c r="J10" s="822"/>
      <c r="K10" s="822"/>
      <c r="L10" s="822"/>
      <c r="M10" s="822"/>
      <c r="N10" s="822"/>
      <c r="O10" s="822"/>
      <c r="P10" s="822"/>
      <c r="Q10" s="822"/>
      <c r="R10" s="822"/>
      <c r="S10" s="822"/>
      <c r="T10" s="822"/>
      <c r="U10" s="822"/>
      <c r="V10" s="822"/>
      <c r="W10" s="822"/>
      <c r="X10" s="822"/>
      <c r="Y10" s="822"/>
      <c r="Z10" s="822"/>
      <c r="AA10" s="822"/>
      <c r="AB10" s="822"/>
      <c r="AC10" s="822"/>
      <c r="AD10" s="822"/>
    </row>
    <row r="11" spans="1:34" ht="45" customHeight="1">
      <c r="A11" s="3458" t="s">
        <v>33</v>
      </c>
      <c r="B11" s="822">
        <v>1</v>
      </c>
      <c r="C11" s="3464" t="s">
        <v>1589</v>
      </c>
      <c r="D11" s="3464" t="s">
        <v>1585</v>
      </c>
      <c r="E11" s="3464" t="s">
        <v>1684</v>
      </c>
      <c r="F11" s="3464" t="s">
        <v>2054</v>
      </c>
      <c r="G11" s="3464"/>
      <c r="H11" s="821" t="s">
        <v>2055</v>
      </c>
      <c r="I11" s="821"/>
      <c r="J11" s="821"/>
      <c r="K11" s="821"/>
      <c r="L11" s="821"/>
      <c r="M11" s="769" t="str">
        <f>IF(TEMPLATE_SPHERE="HEAT",T11,U11)</f>
        <v>Количество поданных заявок</v>
      </c>
      <c r="N11" s="769" t="str">
        <f t="shared" ref="N11:N16" si="0">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768"/>
      <c r="P11" s="768"/>
      <c r="Q11" s="768"/>
      <c r="R11" s="768"/>
      <c r="S11" s="768"/>
      <c r="T11" s="768" t="s">
        <v>2056</v>
      </c>
      <c r="U11" s="768" t="s">
        <v>2057</v>
      </c>
      <c r="V11" s="768"/>
      <c r="W11" s="768"/>
      <c r="X11" s="768"/>
      <c r="Y11" s="922"/>
      <c r="Z11" s="771" t="s">
        <v>2058</v>
      </c>
      <c r="AA11" s="774"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771"/>
      <c r="AC11" s="771"/>
      <c r="AD11" s="771"/>
    </row>
    <row r="12" spans="1:34" ht="45" customHeight="1">
      <c r="A12" s="3458"/>
      <c r="B12" s="822">
        <v>2</v>
      </c>
      <c r="C12" s="3465"/>
      <c r="D12" s="3465"/>
      <c r="E12" s="3465"/>
      <c r="F12" s="3465"/>
      <c r="G12" s="3465"/>
      <c r="H12" s="821" t="s">
        <v>2059</v>
      </c>
      <c r="I12" s="821"/>
      <c r="J12" s="821"/>
      <c r="K12" s="821"/>
      <c r="L12" s="821"/>
      <c r="M12" s="769" t="str">
        <f>IF(TEMPLATE_SPHERE="HEAT",T12,U12)</f>
        <v>Количество рассмотренных заявок</v>
      </c>
      <c r="N12" s="769" t="str">
        <f t="shared" si="0"/>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768"/>
      <c r="P12" s="768"/>
      <c r="Q12" s="768"/>
      <c r="R12" s="768"/>
      <c r="S12" s="768"/>
      <c r="T12" s="768" t="s">
        <v>2060</v>
      </c>
      <c r="U12" s="768" t="s">
        <v>2061</v>
      </c>
      <c r="V12" s="768"/>
      <c r="W12" s="768"/>
      <c r="X12" s="768"/>
      <c r="Y12" s="922"/>
      <c r="Z12" s="771" t="s">
        <v>2062</v>
      </c>
      <c r="AA12" s="774"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771"/>
      <c r="AC12" s="771"/>
      <c r="AD12" s="771"/>
    </row>
    <row r="13" spans="1:34" ht="72" customHeight="1">
      <c r="A13" s="3458"/>
      <c r="B13" s="822">
        <v>3</v>
      </c>
      <c r="C13" s="3465"/>
      <c r="D13" s="3465"/>
      <c r="E13" s="3465"/>
      <c r="F13" s="3465"/>
      <c r="G13" s="3465"/>
      <c r="H13" s="3457" t="s">
        <v>2063</v>
      </c>
      <c r="I13" s="821"/>
      <c r="J13" s="821"/>
      <c r="K13" s="821"/>
      <c r="L13" s="821"/>
      <c r="M13" s="769"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769" t="str">
        <f t="shared" si="0"/>
        <v>Указывается количество заявок с решением об отказе в течение отчетного квартала.</v>
      </c>
      <c r="O13" s="768"/>
      <c r="P13" s="769"/>
      <c r="Q13" s="769"/>
      <c r="R13" s="769"/>
      <c r="S13" s="768"/>
      <c r="T13" s="768" t="s">
        <v>2064</v>
      </c>
      <c r="U13" s="769" t="s">
        <v>2065</v>
      </c>
      <c r="V13" s="769"/>
      <c r="W13" s="769"/>
      <c r="X13" s="768"/>
      <c r="Y13" s="922"/>
      <c r="Z13" s="771" t="s">
        <v>2066</v>
      </c>
      <c r="AA13" s="774"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771"/>
      <c r="AC13" s="771"/>
      <c r="AD13" s="771"/>
    </row>
    <row r="14" spans="1:34" ht="45" customHeight="1">
      <c r="A14" s="3458"/>
      <c r="B14" s="822">
        <v>4</v>
      </c>
      <c r="C14" s="3465"/>
      <c r="D14" s="3465"/>
      <c r="E14" s="3465"/>
      <c r="F14" s="3465"/>
      <c r="G14" s="3465"/>
      <c r="H14" s="3457"/>
      <c r="I14" s="824"/>
      <c r="J14" s="824"/>
      <c r="K14" s="824"/>
      <c r="L14" s="824"/>
      <c r="M14" s="772" t="str">
        <f>IF(TEMPLATE_SPHERE="HEAT",T14,U14)</f>
        <v>Причины отказа в заключении договора о подключении (технологическом присоединении) к системе теплоснабжения</v>
      </c>
      <c r="N14" s="769" t="str">
        <f t="shared" si="0"/>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O14" s="768"/>
      <c r="P14" s="769"/>
      <c r="Q14" s="769"/>
      <c r="R14" s="769"/>
      <c r="S14" s="768"/>
      <c r="T14" s="768" t="s">
        <v>2067</v>
      </c>
      <c r="U14" s="769"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769"/>
      <c r="W14" s="769"/>
      <c r="X14" s="768"/>
      <c r="Y14" s="922"/>
      <c r="Z14" s="771" t="s">
        <v>2068</v>
      </c>
      <c r="AA14" s="774" t="s">
        <v>2068</v>
      </c>
      <c r="AB14" s="771"/>
      <c r="AC14" s="771"/>
      <c r="AD14" s="771"/>
    </row>
    <row r="15" spans="1:34" ht="108" customHeight="1">
      <c r="A15" s="3458"/>
      <c r="B15" s="822">
        <v>5</v>
      </c>
      <c r="C15" s="3465"/>
      <c r="D15" s="3465"/>
      <c r="E15" s="3465"/>
      <c r="F15" s="3465"/>
      <c r="G15" s="3465"/>
      <c r="H15" s="3459" t="s">
        <v>2069</v>
      </c>
      <c r="I15" s="823"/>
      <c r="J15" s="823"/>
      <c r="K15" s="823"/>
      <c r="L15" s="823"/>
      <c r="M15" s="774" t="str">
        <f>IF(TEMPLATE_SPHERE="HEAT",T15,U15)</f>
        <v>Резерв мощности источников тепловой энергии, входящих в систему теплоснабжения, в течение одного квартала, в том числе:</v>
      </c>
      <c r="N15" s="773"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768"/>
      <c r="P15" s="769"/>
      <c r="Q15" s="769"/>
      <c r="R15" s="769"/>
      <c r="S15" s="768"/>
      <c r="T15" s="768" t="s">
        <v>2070</v>
      </c>
      <c r="U15" s="769"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769"/>
      <c r="W15" s="769"/>
      <c r="X15" s="768"/>
      <c r="Y15" s="922"/>
      <c r="Z15" s="771" t="s">
        <v>2071</v>
      </c>
      <c r="AA15" s="774"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771"/>
      <c r="AC15" s="771"/>
      <c r="AD15" s="771"/>
    </row>
    <row r="16" spans="1:34" ht="108" customHeight="1">
      <c r="A16" s="822"/>
      <c r="B16" s="822">
        <v>6</v>
      </c>
      <c r="C16" s="3466"/>
      <c r="D16" s="3466"/>
      <c r="E16" s="3466"/>
      <c r="F16" s="3466"/>
      <c r="G16" s="3466"/>
      <c r="H16" s="3460"/>
      <c r="I16" s="885"/>
      <c r="J16" s="885"/>
      <c r="K16" s="885"/>
      <c r="L16" s="885"/>
      <c r="M16" s="815"/>
      <c r="N16" s="773"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768"/>
      <c r="P16" s="769"/>
      <c r="Q16" s="769"/>
      <c r="R16" s="769"/>
      <c r="S16" s="768"/>
      <c r="T16" s="768"/>
      <c r="U16" s="769"/>
      <c r="V16" s="769"/>
      <c r="W16" s="769"/>
      <c r="X16" s="768"/>
      <c r="Y16" s="922"/>
      <c r="Z16" s="771" t="s">
        <v>2071</v>
      </c>
      <c r="AA16" s="774"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771"/>
      <c r="AC16" s="771"/>
      <c r="AD16" s="771"/>
    </row>
    <row r="17" spans="1:30" ht="9" customHeight="1">
      <c r="A17" s="822"/>
      <c r="B17" s="822"/>
      <c r="C17" s="822">
        <v>22</v>
      </c>
      <c r="D17" s="822">
        <v>21</v>
      </c>
      <c r="E17" s="822">
        <v>42</v>
      </c>
      <c r="F17" s="822">
        <v>63</v>
      </c>
      <c r="G17" s="822"/>
      <c r="H17" s="822"/>
      <c r="I17" s="822"/>
      <c r="J17" s="822"/>
      <c r="K17" s="822"/>
      <c r="L17" s="822"/>
      <c r="M17" s="822"/>
      <c r="N17" s="822"/>
      <c r="O17" s="822"/>
      <c r="P17" s="822"/>
      <c r="Q17" s="822"/>
      <c r="R17" s="822"/>
      <c r="S17" s="822"/>
      <c r="T17" s="822"/>
      <c r="U17" s="822"/>
      <c r="V17" s="822"/>
      <c r="W17" s="822"/>
      <c r="X17" s="822"/>
      <c r="Y17" s="822"/>
      <c r="Z17" s="822"/>
      <c r="AA17" s="822"/>
      <c r="AB17" s="822"/>
      <c r="AC17" s="822"/>
      <c r="AD17" s="822"/>
    </row>
    <row r="18" spans="1:30" ht="27" customHeight="1">
      <c r="A18" s="770" t="s">
        <v>1687</v>
      </c>
      <c r="B18" s="822">
        <v>1</v>
      </c>
      <c r="C18" s="768" t="s">
        <v>2055</v>
      </c>
      <c r="D18" s="890" t="s">
        <v>2055</v>
      </c>
      <c r="E18" s="768" t="s">
        <v>2055</v>
      </c>
      <c r="F18" s="768" t="s">
        <v>2055</v>
      </c>
      <c r="G18" s="768"/>
      <c r="H18" s="923"/>
      <c r="I18" s="926">
        <f t="shared" ref="I18:I49" si="1">INDEX(TEMPLATE_NUMBER_POINT_FHD,B18,MATCH(TEMPLATE_SPHERE,TEMPLATE_SPHERE_LIST_FOR_NOTE,0))</f>
        <v>1</v>
      </c>
      <c r="J18" s="926" t="str">
        <f t="shared" ref="J18:J49" si="2">INDEX(TEMPLATE_DATA_POINT_FHD,B18,MATCH(TEMPLATE_SPHERE,TEMPLATE_SPHERE_LIST_FOR_NOTE,0))</f>
        <v>Выручка от регулируемого вида деятельности с распределением по видам деятельности</v>
      </c>
      <c r="K18" s="926" t="str">
        <f t="shared" ref="K18:K49" si="3">INDEX(TEMPLATE_NOTE_POINT_FHD,B18,MATCH(TEMPLATE_SPHERE,TEMPLATE_SPHERE_LIST_FOR_NOTE,0))</f>
        <v>Указывается выручка от регулируемого вида деятельности с распределением по видам деятельности.</v>
      </c>
      <c r="L18" s="769">
        <f t="shared" ref="L18:L49" si="4">IF(I18=0,"",I18)</f>
        <v>1</v>
      </c>
      <c r="M18" s="769" t="str">
        <f t="shared" ref="M18:M49" si="5">IF(J18=0,"",J18)</f>
        <v>Выручка от регулируемого вида деятельности с распределением по видам деятельности</v>
      </c>
      <c r="N18" s="769" t="str">
        <f t="shared" ref="N18:N49" si="6">IF(K18=0,"",K18)</f>
        <v>Указывается выручка от регулируемого вида деятельности с распределением по видам деятельности.</v>
      </c>
      <c r="O18" s="880">
        <v>1</v>
      </c>
      <c r="P18" s="880">
        <v>1</v>
      </c>
      <c r="Q18" s="880">
        <v>1</v>
      </c>
      <c r="R18" s="880">
        <v>1</v>
      </c>
      <c r="S18" s="880"/>
      <c r="T18" s="887" t="s">
        <v>2072</v>
      </c>
      <c r="U18" s="771" t="s">
        <v>2073</v>
      </c>
      <c r="V18" s="771" t="s">
        <v>2074</v>
      </c>
      <c r="W18" s="771" t="s">
        <v>2075</v>
      </c>
      <c r="X18" s="768"/>
      <c r="Y18" s="922"/>
      <c r="Z18" s="771" t="s">
        <v>2076</v>
      </c>
      <c r="AA18" s="774" t="s">
        <v>2077</v>
      </c>
      <c r="AB18" s="774" t="s">
        <v>2077</v>
      </c>
      <c r="AC18" s="774" t="s">
        <v>2077</v>
      </c>
      <c r="AD18" s="771"/>
    </row>
    <row r="19" spans="1:30" ht="36" customHeight="1">
      <c r="A19" s="770"/>
      <c r="B19" s="822">
        <v>2</v>
      </c>
      <c r="C19" s="768" t="s">
        <v>2059</v>
      </c>
      <c r="D19" s="890" t="s">
        <v>2059</v>
      </c>
      <c r="E19" s="768" t="s">
        <v>2059</v>
      </c>
      <c r="F19" s="768" t="s">
        <v>2059</v>
      </c>
      <c r="G19" s="768"/>
      <c r="H19" s="923"/>
      <c r="I19" s="926">
        <f t="shared" si="1"/>
        <v>2</v>
      </c>
      <c r="J19" s="926" t="str">
        <f t="shared" si="2"/>
        <v>Себестоимость производимых товаров (оказываемых услуг) по регулируемому виду деятельности, включая:</v>
      </c>
      <c r="K19" s="926" t="str">
        <f t="shared" si="3"/>
        <v>Указывается суммарная себестоимость производимых товаров.</v>
      </c>
      <c r="L19" s="769">
        <f t="shared" si="4"/>
        <v>2</v>
      </c>
      <c r="M19" s="769" t="str">
        <f t="shared" si="5"/>
        <v>Себестоимость производимых товаров (оказываемых услуг) по регулируемому виду деятельности, включая:</v>
      </c>
      <c r="N19" s="769" t="str">
        <f t="shared" si="6"/>
        <v>Указывается суммарная себестоимость производимых товаров.</v>
      </c>
      <c r="O19" s="880">
        <v>2</v>
      </c>
      <c r="P19" s="880">
        <v>2</v>
      </c>
      <c r="Q19" s="880">
        <v>2</v>
      </c>
      <c r="R19" s="880">
        <v>2</v>
      </c>
      <c r="S19" s="880"/>
      <c r="T19" s="887" t="s">
        <v>2078</v>
      </c>
      <c r="U19" s="771" t="s">
        <v>2079</v>
      </c>
      <c r="V19" s="771" t="s">
        <v>2080</v>
      </c>
      <c r="W19" s="771" t="s">
        <v>2081</v>
      </c>
      <c r="X19" s="768"/>
      <c r="Y19" s="922"/>
      <c r="Z19" s="771" t="s">
        <v>2082</v>
      </c>
      <c r="AA19" s="774" t="s">
        <v>2082</v>
      </c>
      <c r="AB19" s="774" t="s">
        <v>2082</v>
      </c>
      <c r="AC19" s="774" t="s">
        <v>2082</v>
      </c>
      <c r="AD19" s="771"/>
    </row>
    <row r="20" spans="1:30" ht="27" customHeight="1">
      <c r="A20" s="770"/>
      <c r="B20" s="822">
        <v>3</v>
      </c>
      <c r="C20" s="768">
        <v>1</v>
      </c>
      <c r="D20" s="890"/>
      <c r="E20" s="768"/>
      <c r="F20" s="768"/>
      <c r="G20" s="768"/>
      <c r="H20" s="923"/>
      <c r="I20" s="926" t="str">
        <f t="shared" si="1"/>
        <v>2.1</v>
      </c>
      <c r="J20" s="926" t="str">
        <f t="shared" si="2"/>
        <v>Расходы на приобретаемую тепловую энергию (мощность), теплоноситель</v>
      </c>
      <c r="K20" s="926">
        <f t="shared" si="3"/>
        <v>0</v>
      </c>
      <c r="L20" s="769" t="str">
        <f t="shared" si="4"/>
        <v>2.1</v>
      </c>
      <c r="M20" s="769" t="str">
        <f t="shared" si="5"/>
        <v>Расходы на приобретаемую тепловую энергию (мощность), теплоноситель</v>
      </c>
      <c r="N20" s="769" t="str">
        <f t="shared" si="6"/>
        <v/>
      </c>
      <c r="O20" s="880" t="s">
        <v>741</v>
      </c>
      <c r="P20" s="880" t="s">
        <v>741</v>
      </c>
      <c r="Q20" s="880" t="s">
        <v>741</v>
      </c>
      <c r="R20" s="880" t="s">
        <v>741</v>
      </c>
      <c r="S20" s="880"/>
      <c r="T20" s="887" t="s">
        <v>2083</v>
      </c>
      <c r="U20" s="771" t="s">
        <v>2084</v>
      </c>
      <c r="V20" s="771" t="s">
        <v>2085</v>
      </c>
      <c r="W20" s="771" t="s">
        <v>2086</v>
      </c>
      <c r="X20" s="768"/>
      <c r="Y20" s="922"/>
      <c r="Z20" s="771"/>
      <c r="AA20" s="774"/>
      <c r="AB20" s="771"/>
      <c r="AC20" s="771"/>
      <c r="AD20" s="771"/>
    </row>
    <row r="21" spans="1:30" ht="36" customHeight="1">
      <c r="A21" s="770"/>
      <c r="B21" s="822">
        <v>4</v>
      </c>
      <c r="C21" s="768">
        <v>2</v>
      </c>
      <c r="D21" s="890"/>
      <c r="E21" s="768"/>
      <c r="F21" s="768"/>
      <c r="G21" s="768"/>
      <c r="H21" s="923"/>
      <c r="I21" s="926" t="str">
        <f t="shared" si="1"/>
        <v>2.2</v>
      </c>
      <c r="J21" s="926" t="str">
        <f t="shared" si="2"/>
        <v>Расходы на топливо с указанием по каждому виду топлива стоимости (за единицу объема), объема и способа его приобретения, стоимости его доставки</v>
      </c>
      <c r="K21" s="926" t="str">
        <f t="shared" si="3"/>
        <v>Указываются суммарные расходы на приобретение топлива всех видов.</v>
      </c>
      <c r="L21" s="769" t="str">
        <f t="shared" si="4"/>
        <v>2.2</v>
      </c>
      <c r="M21" s="769" t="str">
        <f t="shared" si="5"/>
        <v>Расходы на топливо с указанием по каждому виду топлива стоимости (за единицу объема), объема и способа его приобретения, стоимости его доставки</v>
      </c>
      <c r="N21" s="769" t="str">
        <f t="shared" si="6"/>
        <v>Указываются суммарные расходы на приобретение топлива всех видов.</v>
      </c>
      <c r="O21" s="880" t="s">
        <v>342</v>
      </c>
      <c r="P21" s="880"/>
      <c r="Q21" s="880"/>
      <c r="R21" s="880"/>
      <c r="S21" s="880"/>
      <c r="T21" s="887" t="s">
        <v>2087</v>
      </c>
      <c r="U21" s="771"/>
      <c r="V21" s="771"/>
      <c r="W21" s="771"/>
      <c r="X21" s="768"/>
      <c r="Y21" s="922"/>
      <c r="Z21" s="771" t="s">
        <v>2088</v>
      </c>
      <c r="AA21" s="774"/>
      <c r="AB21" s="771"/>
      <c r="AC21" s="771"/>
      <c r="AD21" s="771"/>
    </row>
    <row r="22" spans="1:30" ht="36" customHeight="1">
      <c r="A22" s="770"/>
      <c r="B22" s="822">
        <v>5</v>
      </c>
      <c r="C22" s="768">
        <v>3</v>
      </c>
      <c r="D22" s="890"/>
      <c r="E22" s="768"/>
      <c r="F22" s="768"/>
      <c r="G22" s="814"/>
      <c r="H22" s="881"/>
      <c r="I22" s="926">
        <f t="shared" si="1"/>
        <v>0</v>
      </c>
      <c r="J22" s="926">
        <f t="shared" si="2"/>
        <v>0</v>
      </c>
      <c r="K22" s="926">
        <f t="shared" si="3"/>
        <v>0</v>
      </c>
      <c r="L22" s="769" t="str">
        <f t="shared" si="4"/>
        <v/>
      </c>
      <c r="M22" s="769" t="str">
        <f t="shared" si="5"/>
        <v/>
      </c>
      <c r="N22" s="769" t="str">
        <f t="shared" si="6"/>
        <v/>
      </c>
      <c r="O22" s="880"/>
      <c r="P22" s="880"/>
      <c r="Q22" s="880" t="s">
        <v>342</v>
      </c>
      <c r="R22" s="880"/>
      <c r="S22" s="880"/>
      <c r="T22" s="887"/>
      <c r="U22" s="771"/>
      <c r="V22" s="771" t="s">
        <v>2089</v>
      </c>
      <c r="W22" s="771"/>
      <c r="X22" s="768"/>
      <c r="Y22" s="922"/>
      <c r="Z22" s="771"/>
      <c r="AA22" s="774"/>
      <c r="AB22" s="771"/>
      <c r="AC22" s="771"/>
      <c r="AD22" s="771"/>
    </row>
    <row r="23" spans="1:30" ht="27" customHeight="1">
      <c r="A23" s="770"/>
      <c r="B23" s="822">
        <v>6</v>
      </c>
      <c r="C23" s="768">
        <v>4</v>
      </c>
      <c r="D23" s="890"/>
      <c r="E23" s="768"/>
      <c r="F23" s="768"/>
      <c r="G23" s="814"/>
      <c r="H23" s="881"/>
      <c r="I23" s="926">
        <f t="shared" si="1"/>
        <v>0</v>
      </c>
      <c r="J23" s="926">
        <f t="shared" si="2"/>
        <v>0</v>
      </c>
      <c r="K23" s="926">
        <f t="shared" si="3"/>
        <v>0</v>
      </c>
      <c r="L23" s="769" t="str">
        <f t="shared" si="4"/>
        <v/>
      </c>
      <c r="M23" s="769" t="str">
        <f t="shared" si="5"/>
        <v/>
      </c>
      <c r="N23" s="769" t="str">
        <f t="shared" si="6"/>
        <v/>
      </c>
      <c r="O23" s="880"/>
      <c r="P23" s="880"/>
      <c r="Q23" s="880" t="s">
        <v>345</v>
      </c>
      <c r="R23" s="880"/>
      <c r="S23" s="880"/>
      <c r="T23" s="887"/>
      <c r="U23" s="771"/>
      <c r="V23" s="771" t="s">
        <v>2090</v>
      </c>
      <c r="W23" s="771"/>
      <c r="X23" s="768"/>
      <c r="Y23" s="922"/>
      <c r="Z23" s="771"/>
      <c r="AA23" s="774"/>
      <c r="AB23" s="771"/>
      <c r="AC23" s="771"/>
      <c r="AD23" s="771"/>
    </row>
    <row r="24" spans="1:30" ht="36" customHeight="1">
      <c r="A24" s="770"/>
      <c r="B24" s="822">
        <v>7</v>
      </c>
      <c r="C24" s="768">
        <v>5</v>
      </c>
      <c r="D24" s="890"/>
      <c r="E24" s="768"/>
      <c r="F24" s="768"/>
      <c r="G24" s="814"/>
      <c r="H24" s="881"/>
      <c r="I24" s="926">
        <f t="shared" si="1"/>
        <v>0</v>
      </c>
      <c r="J24" s="926">
        <f t="shared" si="2"/>
        <v>0</v>
      </c>
      <c r="K24" s="926">
        <f t="shared" si="3"/>
        <v>0</v>
      </c>
      <c r="L24" s="769" t="str">
        <f t="shared" si="4"/>
        <v/>
      </c>
      <c r="M24" s="769" t="str">
        <f t="shared" si="5"/>
        <v/>
      </c>
      <c r="N24" s="769" t="str">
        <f t="shared" si="6"/>
        <v/>
      </c>
      <c r="O24" s="880"/>
      <c r="P24" s="880"/>
      <c r="Q24" s="880" t="s">
        <v>761</v>
      </c>
      <c r="R24" s="880"/>
      <c r="S24" s="880"/>
      <c r="T24" s="887"/>
      <c r="U24" s="771"/>
      <c r="V24" s="771" t="s">
        <v>2091</v>
      </c>
      <c r="W24" s="771"/>
      <c r="X24" s="768"/>
      <c r="Y24" s="922"/>
      <c r="Z24" s="771"/>
      <c r="AA24" s="774"/>
      <c r="AB24" s="771"/>
      <c r="AC24" s="771"/>
      <c r="AD24" s="771"/>
    </row>
    <row r="25" spans="1:30" ht="36" customHeight="1">
      <c r="A25" s="770"/>
      <c r="B25" s="822">
        <v>8</v>
      </c>
      <c r="C25" s="768">
        <v>6</v>
      </c>
      <c r="D25" s="890"/>
      <c r="E25" s="768"/>
      <c r="F25" s="768"/>
      <c r="G25" s="814"/>
      <c r="H25" s="881"/>
      <c r="I25" s="926" t="str">
        <f t="shared" si="1"/>
        <v>2.3</v>
      </c>
      <c r="J25" s="926" t="str">
        <f t="shared" si="2"/>
        <v>Расходы на приобретаемую электрическую энергию (мощность), используемую в технологическом процессе</v>
      </c>
      <c r="K25" s="926">
        <f t="shared" si="3"/>
        <v>0</v>
      </c>
      <c r="L25" s="769" t="str">
        <f t="shared" si="4"/>
        <v>2.3</v>
      </c>
      <c r="M25" s="769" t="str">
        <f t="shared" si="5"/>
        <v>Расходы на приобретаемую электрическую энергию (мощность), используемую в технологическом процессе</v>
      </c>
      <c r="N25" s="769" t="str">
        <f t="shared" si="6"/>
        <v/>
      </c>
      <c r="O25" s="880" t="s">
        <v>345</v>
      </c>
      <c r="P25" s="880" t="s">
        <v>342</v>
      </c>
      <c r="Q25" s="880" t="s">
        <v>768</v>
      </c>
      <c r="R25" s="880" t="s">
        <v>342</v>
      </c>
      <c r="S25" s="880"/>
      <c r="T25" s="887" t="s">
        <v>2092</v>
      </c>
      <c r="U25" s="771" t="s">
        <v>2092</v>
      </c>
      <c r="V25" s="771" t="s">
        <v>2092</v>
      </c>
      <c r="W25" s="771" t="s">
        <v>2092</v>
      </c>
      <c r="X25" s="768"/>
      <c r="Y25" s="922"/>
      <c r="Z25" s="771"/>
      <c r="AA25" s="774"/>
      <c r="AB25" s="771"/>
      <c r="AC25" s="771"/>
      <c r="AD25" s="771"/>
    </row>
    <row r="26" spans="1:30" ht="18" customHeight="1">
      <c r="A26" s="770"/>
      <c r="B26" s="822">
        <v>9</v>
      </c>
      <c r="C26" s="768" t="s">
        <v>685</v>
      </c>
      <c r="D26" s="890"/>
      <c r="E26" s="768"/>
      <c r="F26" s="768"/>
      <c r="G26" s="814"/>
      <c r="H26" s="881"/>
      <c r="I26" s="926" t="str">
        <f t="shared" si="1"/>
        <v>2.3.1</v>
      </c>
      <c r="J26" s="926" t="str">
        <f t="shared" si="2"/>
        <v>Средневзвешенная стоимость 1 кВт.ч (с учетом мощности)</v>
      </c>
      <c r="K26" s="926">
        <f t="shared" si="3"/>
        <v>0</v>
      </c>
      <c r="L26" s="769" t="str">
        <f t="shared" si="4"/>
        <v>2.3.1</v>
      </c>
      <c r="M26" s="769" t="str">
        <f t="shared" si="5"/>
        <v>Средневзвешенная стоимость 1 кВт.ч (с учетом мощности)</v>
      </c>
      <c r="N26" s="769" t="str">
        <f t="shared" si="6"/>
        <v/>
      </c>
      <c r="O26" s="880" t="s">
        <v>757</v>
      </c>
      <c r="P26" s="880" t="s">
        <v>751</v>
      </c>
      <c r="Q26" s="880" t="s">
        <v>2093</v>
      </c>
      <c r="R26" s="880" t="s">
        <v>751</v>
      </c>
      <c r="S26" s="880"/>
      <c r="T26" s="887" t="str">
        <f>"Средневзвешенная стоимость 1 кВт.ч"&amp;IF(TITLE_TYPE_ORG="Регулируемая организация"," (с учетом мощности)","")</f>
        <v>Средневзвешенная стоимость 1 кВт.ч (с учетом мощности)</v>
      </c>
      <c r="U26" s="887" t="s">
        <v>2094</v>
      </c>
      <c r="V26" s="887" t="s">
        <v>2094</v>
      </c>
      <c r="W26" s="887" t="s">
        <v>2094</v>
      </c>
      <c r="X26" s="768"/>
      <c r="Y26" s="922"/>
      <c r="Z26" s="771"/>
      <c r="AA26" s="774"/>
      <c r="AB26" s="771"/>
      <c r="AC26" s="771"/>
      <c r="AD26" s="771"/>
    </row>
    <row r="27" spans="1:30" ht="18" customHeight="1">
      <c r="A27" s="770"/>
      <c r="B27" s="822">
        <v>10</v>
      </c>
      <c r="C27" s="768" t="s">
        <v>689</v>
      </c>
      <c r="D27" s="890"/>
      <c r="E27" s="768"/>
      <c r="F27" s="768"/>
      <c r="G27" s="814"/>
      <c r="H27" s="881"/>
      <c r="I27" s="926" t="str">
        <f t="shared" si="1"/>
        <v>2.3.2</v>
      </c>
      <c r="J27" s="926" t="str">
        <f t="shared" si="2"/>
        <v>Объём приобретения электрической энергии</v>
      </c>
      <c r="K27" s="926">
        <f t="shared" si="3"/>
        <v>0</v>
      </c>
      <c r="L27" s="769" t="str">
        <f t="shared" si="4"/>
        <v>2.3.2</v>
      </c>
      <c r="M27" s="769" t="str">
        <f t="shared" si="5"/>
        <v>Объём приобретения электрической энергии</v>
      </c>
      <c r="N27" s="769" t="str">
        <f t="shared" si="6"/>
        <v/>
      </c>
      <c r="O27" s="880" t="s">
        <v>759</v>
      </c>
      <c r="P27" s="880" t="s">
        <v>753</v>
      </c>
      <c r="Q27" s="880" t="s">
        <v>2095</v>
      </c>
      <c r="R27" s="880" t="s">
        <v>753</v>
      </c>
      <c r="S27" s="880"/>
      <c r="T27" s="887" t="s">
        <v>2096</v>
      </c>
      <c r="U27" s="887" t="s">
        <v>2096</v>
      </c>
      <c r="V27" s="887" t="s">
        <v>2096</v>
      </c>
      <c r="W27" s="887" t="s">
        <v>2096</v>
      </c>
      <c r="X27" s="768"/>
      <c r="Y27" s="922"/>
      <c r="Z27" s="771"/>
      <c r="AA27" s="774"/>
      <c r="AB27" s="771"/>
      <c r="AC27" s="771"/>
      <c r="AD27" s="771"/>
    </row>
    <row r="28" spans="1:30" ht="27" customHeight="1">
      <c r="A28" s="770"/>
      <c r="B28" s="822">
        <v>11</v>
      </c>
      <c r="C28" s="768">
        <v>7</v>
      </c>
      <c r="D28" s="890"/>
      <c r="E28" s="768"/>
      <c r="F28" s="768"/>
      <c r="G28" s="814"/>
      <c r="H28" s="881"/>
      <c r="I28" s="926" t="str">
        <f t="shared" si="1"/>
        <v>2.4</v>
      </c>
      <c r="J28" s="926" t="str">
        <f t="shared" si="2"/>
        <v>Расходы на приобретение холодной воды, используемой в технологическом процессе</v>
      </c>
      <c r="K28" s="926">
        <f t="shared" si="3"/>
        <v>0</v>
      </c>
      <c r="L28" s="769" t="str">
        <f t="shared" si="4"/>
        <v>2.4</v>
      </c>
      <c r="M28" s="769" t="str">
        <f t="shared" si="5"/>
        <v>Расходы на приобретение холодной воды, используемой в технологическом процессе</v>
      </c>
      <c r="N28" s="769" t="str">
        <f t="shared" si="6"/>
        <v/>
      </c>
      <c r="O28" s="880" t="s">
        <v>761</v>
      </c>
      <c r="P28" s="880"/>
      <c r="Q28" s="880"/>
      <c r="R28" s="880"/>
      <c r="S28" s="880"/>
      <c r="T28" s="887" t="s">
        <v>2097</v>
      </c>
      <c r="U28" s="771"/>
      <c r="V28" s="771"/>
      <c r="W28" s="771"/>
      <c r="X28" s="768"/>
      <c r="Y28" s="922"/>
      <c r="Z28" s="771"/>
      <c r="AA28" s="774"/>
      <c r="AB28" s="771"/>
      <c r="AC28" s="771"/>
      <c r="AD28" s="771"/>
    </row>
    <row r="29" spans="1:30" ht="27" customHeight="1">
      <c r="A29" s="770"/>
      <c r="B29" s="822">
        <v>12</v>
      </c>
      <c r="C29" s="768">
        <v>8</v>
      </c>
      <c r="D29" s="890"/>
      <c r="E29" s="768"/>
      <c r="F29" s="768"/>
      <c r="G29" s="814"/>
      <c r="H29" s="881"/>
      <c r="I29" s="926" t="str">
        <f t="shared" si="1"/>
        <v>2.5</v>
      </c>
      <c r="J29" s="926" t="str">
        <f t="shared" si="2"/>
        <v>Расходы на  химические реагенты, используемые в технологическом процессе</v>
      </c>
      <c r="K29" s="926">
        <f t="shared" si="3"/>
        <v>0</v>
      </c>
      <c r="L29" s="769" t="str">
        <f t="shared" si="4"/>
        <v>2.5</v>
      </c>
      <c r="M29" s="769" t="str">
        <f t="shared" si="5"/>
        <v>Расходы на  химические реагенты, используемые в технологическом процессе</v>
      </c>
      <c r="N29" s="769" t="str">
        <f t="shared" si="6"/>
        <v/>
      </c>
      <c r="O29" s="880" t="s">
        <v>768</v>
      </c>
      <c r="P29" s="880" t="s">
        <v>345</v>
      </c>
      <c r="Q29" s="880"/>
      <c r="R29" s="880" t="s">
        <v>345</v>
      </c>
      <c r="S29" s="880"/>
      <c r="T29" s="887"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771" t="s">
        <v>2098</v>
      </c>
      <c r="V29" s="771"/>
      <c r="W29" s="771" t="s">
        <v>2098</v>
      </c>
      <c r="X29" s="768"/>
      <c r="Y29" s="922"/>
      <c r="Z29" s="771"/>
      <c r="AA29" s="774"/>
      <c r="AB29" s="771"/>
      <c r="AC29" s="771"/>
      <c r="AD29" s="771"/>
    </row>
    <row r="30" spans="1:30" ht="54" customHeight="1">
      <c r="A30" s="770"/>
      <c r="B30" s="822">
        <v>13</v>
      </c>
      <c r="C30" s="768">
        <v>9</v>
      </c>
      <c r="D30" s="890"/>
      <c r="E30" s="768"/>
      <c r="F30" s="768"/>
      <c r="G30" s="814"/>
      <c r="H30" s="881"/>
      <c r="I30" s="926" t="str">
        <f t="shared" si="1"/>
        <v>2.6</v>
      </c>
      <c r="J30" s="926" t="str">
        <f t="shared" si="2"/>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926">
        <f t="shared" si="3"/>
        <v>0</v>
      </c>
      <c r="L30" s="769" t="str">
        <f t="shared" si="4"/>
        <v>2.6</v>
      </c>
      <c r="M30" s="769" t="str">
        <f t="shared" si="5"/>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769" t="str">
        <f t="shared" si="6"/>
        <v/>
      </c>
      <c r="O30" s="880" t="s">
        <v>770</v>
      </c>
      <c r="P30" s="880" t="s">
        <v>761</v>
      </c>
      <c r="Q30" s="880" t="s">
        <v>770</v>
      </c>
      <c r="R30" s="880" t="s">
        <v>761</v>
      </c>
      <c r="S30" s="880"/>
      <c r="T30" s="887" t="s">
        <v>2099</v>
      </c>
      <c r="U30" s="771" t="s">
        <v>2099</v>
      </c>
      <c r="V30" s="771" t="s">
        <v>2099</v>
      </c>
      <c r="W30" s="771" t="s">
        <v>2099</v>
      </c>
      <c r="X30" s="768"/>
      <c r="Y30" s="922"/>
      <c r="Z30" s="771"/>
      <c r="AA30" s="774" t="s">
        <v>2100</v>
      </c>
      <c r="AB30" s="774" t="s">
        <v>2100</v>
      </c>
      <c r="AC30" s="774" t="s">
        <v>2100</v>
      </c>
      <c r="AD30" s="771"/>
    </row>
    <row r="31" spans="1:30" ht="18" customHeight="1">
      <c r="A31" s="770"/>
      <c r="B31" s="822">
        <v>14</v>
      </c>
      <c r="C31" s="768" t="s">
        <v>2101</v>
      </c>
      <c r="D31" s="890"/>
      <c r="E31" s="768"/>
      <c r="F31" s="768"/>
      <c r="G31" s="814"/>
      <c r="H31" s="881"/>
      <c r="I31" s="926" t="str">
        <f t="shared" si="1"/>
        <v>2.6.1</v>
      </c>
      <c r="J31" s="926" t="str">
        <f t="shared" si="2"/>
        <v>Расходы на оплату труда основного производственного персонала</v>
      </c>
      <c r="K31" s="926">
        <f t="shared" si="3"/>
        <v>0</v>
      </c>
      <c r="L31" s="769" t="str">
        <f t="shared" si="4"/>
        <v>2.6.1</v>
      </c>
      <c r="M31" s="769" t="str">
        <f t="shared" si="5"/>
        <v>Расходы на оплату труда основного производственного персонала</v>
      </c>
      <c r="N31" s="769" t="str">
        <f t="shared" si="6"/>
        <v/>
      </c>
      <c r="O31" s="880" t="s">
        <v>2102</v>
      </c>
      <c r="P31" s="880" t="s">
        <v>764</v>
      </c>
      <c r="Q31" s="880" t="s">
        <v>2102</v>
      </c>
      <c r="R31" s="880" t="s">
        <v>764</v>
      </c>
      <c r="S31" s="880"/>
      <c r="T31" s="888" t="s">
        <v>2103</v>
      </c>
      <c r="U31" s="771" t="s">
        <v>2103</v>
      </c>
      <c r="V31" s="771" t="s">
        <v>2103</v>
      </c>
      <c r="W31" s="771" t="s">
        <v>2103</v>
      </c>
      <c r="X31" s="768"/>
      <c r="Y31" s="922"/>
      <c r="Z31" s="771"/>
      <c r="AA31" s="774"/>
      <c r="AB31" s="774"/>
      <c r="AC31" s="774"/>
      <c r="AD31" s="771"/>
    </row>
    <row r="32" spans="1:30" ht="36" customHeight="1">
      <c r="A32" s="770"/>
      <c r="B32" s="822">
        <v>15</v>
      </c>
      <c r="C32" s="768" t="s">
        <v>2104</v>
      </c>
      <c r="D32" s="890"/>
      <c r="E32" s="768"/>
      <c r="F32" s="768"/>
      <c r="G32" s="814"/>
      <c r="H32" s="881"/>
      <c r="I32" s="926" t="str">
        <f t="shared" si="1"/>
        <v>2.6.2</v>
      </c>
      <c r="J32" s="926" t="str">
        <f t="shared" si="2"/>
        <v>Страховые взносы на обязательное социальное страхование, выплачиваемые из фонда оплаты труда основного производственного персонала</v>
      </c>
      <c r="K32" s="926">
        <f t="shared" si="3"/>
        <v>0</v>
      </c>
      <c r="L32" s="769" t="str">
        <f t="shared" si="4"/>
        <v>2.6.2</v>
      </c>
      <c r="M32" s="769" t="str">
        <f t="shared" si="5"/>
        <v>Страховые взносы на обязательное социальное страхование, выплачиваемые из фонда оплаты труда основного производственного персонала</v>
      </c>
      <c r="N32" s="769" t="str">
        <f t="shared" si="6"/>
        <v/>
      </c>
      <c r="O32" s="880" t="s">
        <v>2105</v>
      </c>
      <c r="P32" s="880" t="s">
        <v>766</v>
      </c>
      <c r="Q32" s="880" t="s">
        <v>2105</v>
      </c>
      <c r="R32" s="880" t="s">
        <v>766</v>
      </c>
      <c r="S32" s="880"/>
      <c r="T32" s="889"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771" t="s">
        <v>2106</v>
      </c>
      <c r="V32" s="771" t="s">
        <v>2106</v>
      </c>
      <c r="W32" s="771" t="s">
        <v>2106</v>
      </c>
      <c r="X32" s="768"/>
      <c r="Y32" s="922"/>
      <c r="Z32" s="771"/>
      <c r="AA32" s="774"/>
      <c r="AB32" s="774"/>
      <c r="AC32" s="774"/>
      <c r="AD32" s="771"/>
    </row>
    <row r="33" spans="1:30" ht="45" customHeight="1">
      <c r="A33" s="770"/>
      <c r="B33" s="822">
        <v>16</v>
      </c>
      <c r="C33" s="768">
        <v>10</v>
      </c>
      <c r="D33" s="890"/>
      <c r="E33" s="768"/>
      <c r="F33" s="768"/>
      <c r="G33" s="814"/>
      <c r="H33" s="881"/>
      <c r="I33" s="926" t="str">
        <f t="shared" si="1"/>
        <v>2.7</v>
      </c>
      <c r="J33" s="926" t="str">
        <f t="shared" si="2"/>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926">
        <f t="shared" si="3"/>
        <v>0</v>
      </c>
      <c r="L33" s="769" t="str">
        <f t="shared" si="4"/>
        <v>2.7</v>
      </c>
      <c r="M33" s="769" t="str">
        <f t="shared" si="5"/>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769" t="str">
        <f t="shared" si="6"/>
        <v/>
      </c>
      <c r="O33" s="880" t="s">
        <v>772</v>
      </c>
      <c r="P33" s="880" t="s">
        <v>768</v>
      </c>
      <c r="Q33" s="880" t="s">
        <v>772</v>
      </c>
      <c r="R33" s="880" t="s">
        <v>768</v>
      </c>
      <c r="S33" s="880"/>
      <c r="T33" s="888"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771" t="s">
        <v>2107</v>
      </c>
      <c r="V33" s="771" t="s">
        <v>2107</v>
      </c>
      <c r="W33" s="771" t="s">
        <v>2108</v>
      </c>
      <c r="X33" s="768"/>
      <c r="Y33" s="922"/>
      <c r="Z33" s="771"/>
      <c r="AA33" s="774" t="s">
        <v>2109</v>
      </c>
      <c r="AB33" s="774" t="s">
        <v>2109</v>
      </c>
      <c r="AC33" s="774" t="s">
        <v>2109</v>
      </c>
      <c r="AD33" s="771"/>
    </row>
    <row r="34" spans="1:30" ht="27" customHeight="1">
      <c r="A34" s="770"/>
      <c r="B34" s="822">
        <v>17</v>
      </c>
      <c r="C34" s="768" t="s">
        <v>2110</v>
      </c>
      <c r="D34" s="890"/>
      <c r="E34" s="768"/>
      <c r="F34" s="768"/>
      <c r="G34" s="814"/>
      <c r="H34" s="881"/>
      <c r="I34" s="926" t="str">
        <f t="shared" si="1"/>
        <v>2.7.1</v>
      </c>
      <c r="J34" s="926" t="str">
        <f t="shared" si="2"/>
        <v>Расходы на оплату труда административно-управленческого персонала</v>
      </c>
      <c r="K34" s="926">
        <f t="shared" si="3"/>
        <v>0</v>
      </c>
      <c r="L34" s="769" t="str">
        <f t="shared" si="4"/>
        <v>2.7.1</v>
      </c>
      <c r="M34" s="769" t="str">
        <f t="shared" si="5"/>
        <v>Расходы на оплату труда административно-управленческого персонала</v>
      </c>
      <c r="N34" s="769" t="str">
        <f t="shared" si="6"/>
        <v/>
      </c>
      <c r="O34" s="880" t="s">
        <v>2111</v>
      </c>
      <c r="P34" s="880" t="s">
        <v>2093</v>
      </c>
      <c r="Q34" s="880" t="s">
        <v>2111</v>
      </c>
      <c r="R34" s="880" t="s">
        <v>2093</v>
      </c>
      <c r="S34" s="880"/>
      <c r="T34" s="889" t="s">
        <v>2112</v>
      </c>
      <c r="U34" s="771" t="s">
        <v>2112</v>
      </c>
      <c r="V34" s="771" t="s">
        <v>2112</v>
      </c>
      <c r="W34" s="771" t="s">
        <v>2113</v>
      </c>
      <c r="X34" s="768"/>
      <c r="Y34" s="922"/>
      <c r="Z34" s="771"/>
      <c r="AA34" s="774"/>
      <c r="AB34" s="771"/>
      <c r="AC34" s="771"/>
      <c r="AD34" s="771"/>
    </row>
    <row r="35" spans="1:30" ht="45" customHeight="1">
      <c r="A35" s="770"/>
      <c r="B35" s="822">
        <v>18</v>
      </c>
      <c r="C35" s="768" t="s">
        <v>2114</v>
      </c>
      <c r="D35" s="890"/>
      <c r="E35" s="768"/>
      <c r="F35" s="768"/>
      <c r="G35" s="814"/>
      <c r="H35" s="881"/>
      <c r="I35" s="926" t="str">
        <f t="shared" si="1"/>
        <v>2.7.2</v>
      </c>
      <c r="J35" s="926" t="str">
        <f t="shared" si="2"/>
        <v>Страховые взносы на обязательное социальное страхование, выплачиваемые из фонда оплаты труда административно-управленческого персонала</v>
      </c>
      <c r="K35" s="926">
        <f t="shared" si="3"/>
        <v>0</v>
      </c>
      <c r="L35" s="769" t="str">
        <f t="shared" si="4"/>
        <v>2.7.2</v>
      </c>
      <c r="M35" s="769" t="str">
        <f t="shared" si="5"/>
        <v>Страховые взносы на обязательное социальное страхование, выплачиваемые из фонда оплаты труда административно-управленческого персонала</v>
      </c>
      <c r="N35" s="769" t="str">
        <f t="shared" si="6"/>
        <v/>
      </c>
      <c r="O35" s="880" t="s">
        <v>2115</v>
      </c>
      <c r="P35" s="880" t="s">
        <v>2095</v>
      </c>
      <c r="Q35" s="880" t="s">
        <v>2115</v>
      </c>
      <c r="R35" s="880" t="s">
        <v>2095</v>
      </c>
      <c r="S35" s="880"/>
      <c r="T35" s="887"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771" t="s">
        <v>2116</v>
      </c>
      <c r="V35" s="771" t="s">
        <v>2116</v>
      </c>
      <c r="W35" s="771" t="s">
        <v>2116</v>
      </c>
      <c r="X35" s="768"/>
      <c r="Y35" s="922"/>
      <c r="Z35" s="771"/>
      <c r="AA35" s="774"/>
      <c r="AB35" s="771"/>
      <c r="AC35" s="771"/>
      <c r="AD35" s="771"/>
    </row>
    <row r="36" spans="1:30" ht="18" customHeight="1">
      <c r="A36" s="770"/>
      <c r="B36" s="822">
        <v>19</v>
      </c>
      <c r="C36" s="768">
        <v>11</v>
      </c>
      <c r="D36" s="890"/>
      <c r="E36" s="768"/>
      <c r="F36" s="768"/>
      <c r="G36" s="814"/>
      <c r="H36" s="881"/>
      <c r="I36" s="926" t="str">
        <f t="shared" si="1"/>
        <v>2.8</v>
      </c>
      <c r="J36" s="926" t="str">
        <f t="shared" si="2"/>
        <v>Расходы на амортизацию основных средств и нематериальных активов</v>
      </c>
      <c r="K36" s="926">
        <f t="shared" si="3"/>
        <v>0</v>
      </c>
      <c r="L36" s="769" t="str">
        <f t="shared" si="4"/>
        <v>2.8</v>
      </c>
      <c r="M36" s="769" t="str">
        <f t="shared" si="5"/>
        <v>Расходы на амортизацию основных средств и нематериальных активов</v>
      </c>
      <c r="N36" s="769" t="str">
        <f t="shared" si="6"/>
        <v/>
      </c>
      <c r="O36" s="880" t="s">
        <v>774</v>
      </c>
      <c r="P36" s="880" t="s">
        <v>770</v>
      </c>
      <c r="Q36" s="880" t="s">
        <v>774</v>
      </c>
      <c r="R36" s="880" t="s">
        <v>770</v>
      </c>
      <c r="S36" s="880"/>
      <c r="T36" s="887" t="s">
        <v>2117</v>
      </c>
      <c r="U36" s="771" t="s">
        <v>2117</v>
      </c>
      <c r="V36" s="771" t="s">
        <v>2117</v>
      </c>
      <c r="W36" s="771" t="s">
        <v>2117</v>
      </c>
      <c r="X36" s="768"/>
      <c r="Y36" s="922"/>
      <c r="Z36" s="771"/>
      <c r="AA36" s="774"/>
      <c r="AB36" s="771"/>
      <c r="AC36" s="771"/>
      <c r="AD36" s="771"/>
    </row>
    <row r="37" spans="1:30" ht="18" customHeight="1">
      <c r="A37" s="770"/>
      <c r="B37" s="822">
        <v>20</v>
      </c>
      <c r="C37" s="768" t="s">
        <v>2118</v>
      </c>
      <c r="D37" s="890"/>
      <c r="E37" s="768"/>
      <c r="F37" s="768"/>
      <c r="G37" s="814"/>
      <c r="H37" s="881"/>
      <c r="I37" s="926" t="str">
        <f t="shared" si="1"/>
        <v>2.8.1</v>
      </c>
      <c r="J37" s="926" t="str">
        <f t="shared" si="2"/>
        <v>Расходы на амортизацию основных средств</v>
      </c>
      <c r="K37" s="926">
        <f t="shared" si="3"/>
        <v>0</v>
      </c>
      <c r="L37" s="769" t="str">
        <f t="shared" si="4"/>
        <v>2.8.1</v>
      </c>
      <c r="M37" s="769" t="str">
        <f t="shared" si="5"/>
        <v>Расходы на амортизацию основных средств</v>
      </c>
      <c r="N37" s="769" t="str">
        <f t="shared" si="6"/>
        <v/>
      </c>
      <c r="O37" s="880" t="s">
        <v>2119</v>
      </c>
      <c r="P37" s="880" t="s">
        <v>2102</v>
      </c>
      <c r="Q37" s="880" t="s">
        <v>2119</v>
      </c>
      <c r="R37" s="880" t="s">
        <v>2102</v>
      </c>
      <c r="S37" s="880"/>
      <c r="T37" s="887" t="s">
        <v>2120</v>
      </c>
      <c r="U37" s="771" t="s">
        <v>2120</v>
      </c>
      <c r="V37" s="771" t="s">
        <v>2120</v>
      </c>
      <c r="W37" s="771" t="s">
        <v>2120</v>
      </c>
      <c r="X37" s="768"/>
      <c r="Y37" s="922"/>
      <c r="Z37" s="771"/>
      <c r="AA37" s="774"/>
      <c r="AB37" s="771"/>
      <c r="AC37" s="771"/>
      <c r="AD37" s="771"/>
    </row>
    <row r="38" spans="1:30" ht="18" customHeight="1">
      <c r="A38" s="770"/>
      <c r="B38" s="822">
        <v>21</v>
      </c>
      <c r="C38" s="768" t="s">
        <v>2121</v>
      </c>
      <c r="D38" s="890"/>
      <c r="E38" s="768"/>
      <c r="F38" s="768"/>
      <c r="G38" s="814"/>
      <c r="H38" s="881"/>
      <c r="I38" s="926" t="str">
        <f t="shared" si="1"/>
        <v>2.8.2</v>
      </c>
      <c r="J38" s="926" t="str">
        <f t="shared" si="2"/>
        <v>Расходы на амортизацию нематериальных активов</v>
      </c>
      <c r="K38" s="926">
        <f t="shared" si="3"/>
        <v>0</v>
      </c>
      <c r="L38" s="769" t="str">
        <f t="shared" si="4"/>
        <v>2.8.2</v>
      </c>
      <c r="M38" s="769" t="str">
        <f t="shared" si="5"/>
        <v>Расходы на амортизацию нематериальных активов</v>
      </c>
      <c r="N38" s="769" t="str">
        <f t="shared" si="6"/>
        <v/>
      </c>
      <c r="O38" s="880" t="s">
        <v>2122</v>
      </c>
      <c r="P38" s="880" t="s">
        <v>2105</v>
      </c>
      <c r="Q38" s="880" t="s">
        <v>2122</v>
      </c>
      <c r="R38" s="880" t="s">
        <v>2105</v>
      </c>
      <c r="S38" s="880"/>
      <c r="T38" s="887" t="s">
        <v>2123</v>
      </c>
      <c r="U38" s="771" t="s">
        <v>2123</v>
      </c>
      <c r="V38" s="771" t="s">
        <v>2123</v>
      </c>
      <c r="W38" s="771" t="s">
        <v>2123</v>
      </c>
      <c r="X38" s="768"/>
      <c r="Y38" s="922"/>
      <c r="Z38" s="771"/>
      <c r="AA38" s="774"/>
      <c r="AB38" s="771"/>
      <c r="AC38" s="771"/>
      <c r="AD38" s="771"/>
    </row>
    <row r="39" spans="1:30" ht="36" customHeight="1">
      <c r="A39" s="770"/>
      <c r="B39" s="822">
        <v>22</v>
      </c>
      <c r="C39" s="768">
        <v>12</v>
      </c>
      <c r="D39" s="890"/>
      <c r="E39" s="768"/>
      <c r="F39" s="768"/>
      <c r="G39" s="814"/>
      <c r="H39" s="881"/>
      <c r="I39" s="926" t="str">
        <f t="shared" si="1"/>
        <v>2.9</v>
      </c>
      <c r="J39" s="926" t="str">
        <f t="shared" si="2"/>
        <v>Расходы на аренду имущества, используемого для осуществления регулируемого вида деятельности</v>
      </c>
      <c r="K39" s="926">
        <f t="shared" si="3"/>
        <v>0</v>
      </c>
      <c r="L39" s="769" t="str">
        <f t="shared" si="4"/>
        <v>2.9</v>
      </c>
      <c r="M39" s="769" t="str">
        <f t="shared" si="5"/>
        <v>Расходы на аренду имущества, используемого для осуществления регулируемого вида деятельности</v>
      </c>
      <c r="N39" s="769" t="str">
        <f t="shared" si="6"/>
        <v/>
      </c>
      <c r="O39" s="880" t="s">
        <v>778</v>
      </c>
      <c r="P39" s="880" t="s">
        <v>772</v>
      </c>
      <c r="Q39" s="880" t="s">
        <v>778</v>
      </c>
      <c r="R39" s="880" t="s">
        <v>772</v>
      </c>
      <c r="S39" s="880"/>
      <c r="T39" s="887" t="s">
        <v>2124</v>
      </c>
      <c r="U39" s="771" t="s">
        <v>2125</v>
      </c>
      <c r="V39" s="771" t="s">
        <v>2126</v>
      </c>
      <c r="W39" s="771" t="s">
        <v>2127</v>
      </c>
      <c r="X39" s="768"/>
      <c r="Y39" s="922"/>
      <c r="Z39" s="771"/>
      <c r="AA39" s="774"/>
      <c r="AB39" s="771"/>
      <c r="AC39" s="771"/>
      <c r="AD39" s="771"/>
    </row>
    <row r="40" spans="1:30" ht="18" customHeight="1">
      <c r="A40" s="770"/>
      <c r="B40" s="822">
        <v>23</v>
      </c>
      <c r="C40" s="768">
        <v>13</v>
      </c>
      <c r="D40" s="890"/>
      <c r="E40" s="768"/>
      <c r="F40" s="768"/>
      <c r="G40" s="768"/>
      <c r="H40" s="817"/>
      <c r="I40" s="926" t="str">
        <f t="shared" si="1"/>
        <v>2.10</v>
      </c>
      <c r="J40" s="926" t="str">
        <f t="shared" si="2"/>
        <v>Общепроизводственные расходы, в том числе:</v>
      </c>
      <c r="K40" s="926" t="str">
        <f t="shared" si="3"/>
        <v>Указывается общая сумма общепроизводственных расходов.</v>
      </c>
      <c r="L40" s="769" t="str">
        <f t="shared" si="4"/>
        <v>2.10</v>
      </c>
      <c r="M40" s="769" t="str">
        <f t="shared" si="5"/>
        <v>Общепроизводственные расходы, в том числе:</v>
      </c>
      <c r="N40" s="769" t="str">
        <f t="shared" si="6"/>
        <v>Указывается общая сумма общепроизводственных расходов.</v>
      </c>
      <c r="O40" s="880" t="s">
        <v>2128</v>
      </c>
      <c r="P40" s="880" t="s">
        <v>774</v>
      </c>
      <c r="Q40" s="880" t="s">
        <v>2128</v>
      </c>
      <c r="R40" s="880" t="s">
        <v>774</v>
      </c>
      <c r="S40" s="880"/>
      <c r="T40" s="768" t="s">
        <v>2129</v>
      </c>
      <c r="U40" s="768" t="s">
        <v>2129</v>
      </c>
      <c r="V40" s="768" t="s">
        <v>2129</v>
      </c>
      <c r="W40" s="768" t="s">
        <v>2129</v>
      </c>
      <c r="X40" s="768"/>
      <c r="Y40" s="922"/>
      <c r="Z40" s="771" t="s">
        <v>2130</v>
      </c>
      <c r="AA40" s="774" t="s">
        <v>2130</v>
      </c>
      <c r="AB40" s="774" t="s">
        <v>2130</v>
      </c>
      <c r="AC40" s="774" t="s">
        <v>2130</v>
      </c>
      <c r="AD40" s="771"/>
    </row>
    <row r="41" spans="1:30" ht="27" customHeight="1">
      <c r="A41" s="770"/>
      <c r="B41" s="822">
        <v>24</v>
      </c>
      <c r="C41" s="768" t="s">
        <v>2131</v>
      </c>
      <c r="D41" s="890"/>
      <c r="E41" s="768"/>
      <c r="F41" s="768"/>
      <c r="G41" s="768"/>
      <c r="H41" s="814"/>
      <c r="I41" s="926" t="str">
        <f t="shared" si="1"/>
        <v>2.10.1</v>
      </c>
      <c r="J41" s="926" t="str">
        <f t="shared" si="2"/>
        <v>Расходы на текущий ремонт</v>
      </c>
      <c r="K41" s="926" t="str">
        <f t="shared" si="3"/>
        <v>Указываются расходы на текущий ремонт, отнесенные к общепроизводственным расходам.</v>
      </c>
      <c r="L41" s="769" t="str">
        <f t="shared" si="4"/>
        <v>2.10.1</v>
      </c>
      <c r="M41" s="769" t="str">
        <f t="shared" si="5"/>
        <v>Расходы на текущий ремонт</v>
      </c>
      <c r="N41" s="769" t="str">
        <f t="shared" si="6"/>
        <v>Указываются расходы на текущий ремонт, отнесенные к общепроизводственным расходам.</v>
      </c>
      <c r="O41" s="880" t="s">
        <v>2132</v>
      </c>
      <c r="P41" s="880" t="s">
        <v>2119</v>
      </c>
      <c r="Q41" s="880" t="s">
        <v>2132</v>
      </c>
      <c r="R41" s="880" t="s">
        <v>2119</v>
      </c>
      <c r="S41" s="880"/>
      <c r="T41" s="768" t="s">
        <v>2133</v>
      </c>
      <c r="U41" s="768" t="s">
        <v>2133</v>
      </c>
      <c r="V41" s="768" t="s">
        <v>2133</v>
      </c>
      <c r="W41" s="768" t="s">
        <v>2133</v>
      </c>
      <c r="X41" s="768"/>
      <c r="Y41" s="922"/>
      <c r="Z41" s="771" t="s">
        <v>2134</v>
      </c>
      <c r="AA41" s="771" t="s">
        <v>2134</v>
      </c>
      <c r="AB41" s="771" t="s">
        <v>2134</v>
      </c>
      <c r="AC41" s="771" t="s">
        <v>2134</v>
      </c>
      <c r="AD41" s="771"/>
    </row>
    <row r="42" spans="1:30" ht="27" customHeight="1">
      <c r="A42" s="770"/>
      <c r="B42" s="822">
        <v>25</v>
      </c>
      <c r="C42" s="768" t="s">
        <v>2135</v>
      </c>
      <c r="D42" s="890"/>
      <c r="E42" s="768"/>
      <c r="F42" s="768"/>
      <c r="G42" s="768"/>
      <c r="H42" s="814"/>
      <c r="I42" s="926" t="str">
        <f t="shared" si="1"/>
        <v>2.10.2</v>
      </c>
      <c r="J42" s="926" t="str">
        <f t="shared" si="2"/>
        <v>Расходы на капитальный ремонт</v>
      </c>
      <c r="K42" s="926" t="str">
        <f t="shared" si="3"/>
        <v>Указываются расходы на капитальный ремонт, отнесенные к общепроизводственным расходам.</v>
      </c>
      <c r="L42" s="769" t="str">
        <f t="shared" si="4"/>
        <v>2.10.2</v>
      </c>
      <c r="M42" s="769" t="str">
        <f t="shared" si="5"/>
        <v>Расходы на капитальный ремонт</v>
      </c>
      <c r="N42" s="769" t="str">
        <f t="shared" si="6"/>
        <v>Указываются расходы на капитальный ремонт, отнесенные к общепроизводственным расходам.</v>
      </c>
      <c r="O42" s="880" t="s">
        <v>2136</v>
      </c>
      <c r="P42" s="880" t="s">
        <v>2122</v>
      </c>
      <c r="Q42" s="880" t="s">
        <v>2136</v>
      </c>
      <c r="R42" s="880" t="s">
        <v>2122</v>
      </c>
      <c r="S42" s="880"/>
      <c r="T42" s="768" t="s">
        <v>2137</v>
      </c>
      <c r="U42" s="768" t="s">
        <v>2137</v>
      </c>
      <c r="V42" s="768" t="s">
        <v>2137</v>
      </c>
      <c r="W42" s="768" t="s">
        <v>2137</v>
      </c>
      <c r="X42" s="768"/>
      <c r="Y42" s="922"/>
      <c r="Z42" s="771" t="s">
        <v>2138</v>
      </c>
      <c r="AA42" s="771" t="s">
        <v>2138</v>
      </c>
      <c r="AB42" s="771" t="s">
        <v>2138</v>
      </c>
      <c r="AC42" s="771" t="s">
        <v>2138</v>
      </c>
      <c r="AD42" s="771"/>
    </row>
    <row r="43" spans="1:30" ht="18" customHeight="1">
      <c r="A43" s="770"/>
      <c r="B43" s="822">
        <v>26</v>
      </c>
      <c r="C43" s="768">
        <v>14</v>
      </c>
      <c r="D43" s="890"/>
      <c r="E43" s="768"/>
      <c r="F43" s="768"/>
      <c r="G43" s="768"/>
      <c r="H43" s="814"/>
      <c r="I43" s="926" t="str">
        <f t="shared" si="1"/>
        <v>2.11</v>
      </c>
      <c r="J43" s="926" t="str">
        <f t="shared" si="2"/>
        <v>Общехозяйственные расходы, в том числе:</v>
      </c>
      <c r="K43" s="926" t="str">
        <f t="shared" si="3"/>
        <v>Указывается общая сумма общехозяйственных расходов.</v>
      </c>
      <c r="L43" s="769" t="str">
        <f t="shared" si="4"/>
        <v>2.11</v>
      </c>
      <c r="M43" s="769" t="str">
        <f t="shared" si="5"/>
        <v>Общехозяйственные расходы, в том числе:</v>
      </c>
      <c r="N43" s="769" t="str">
        <f t="shared" si="6"/>
        <v>Указывается общая сумма общехозяйственных расходов.</v>
      </c>
      <c r="O43" s="880" t="s">
        <v>2139</v>
      </c>
      <c r="P43" s="880" t="s">
        <v>778</v>
      </c>
      <c r="Q43" s="880" t="s">
        <v>2139</v>
      </c>
      <c r="R43" s="880" t="s">
        <v>778</v>
      </c>
      <c r="S43" s="880"/>
      <c r="T43" s="768" t="s">
        <v>2140</v>
      </c>
      <c r="U43" s="768" t="s">
        <v>2140</v>
      </c>
      <c r="V43" s="768" t="s">
        <v>2140</v>
      </c>
      <c r="W43" s="768" t="s">
        <v>2140</v>
      </c>
      <c r="X43" s="768"/>
      <c r="Y43" s="922"/>
      <c r="Z43" s="771" t="s">
        <v>2141</v>
      </c>
      <c r="AA43" s="771" t="s">
        <v>2141</v>
      </c>
      <c r="AB43" s="771" t="s">
        <v>2141</v>
      </c>
      <c r="AC43" s="771" t="s">
        <v>2141</v>
      </c>
      <c r="AD43" s="771"/>
    </row>
    <row r="44" spans="1:30" ht="27" customHeight="1">
      <c r="A44" s="770"/>
      <c r="B44" s="822">
        <v>27</v>
      </c>
      <c r="C44" s="768" t="s">
        <v>2142</v>
      </c>
      <c r="D44" s="890"/>
      <c r="E44" s="768"/>
      <c r="F44" s="768"/>
      <c r="G44" s="768"/>
      <c r="H44" s="814"/>
      <c r="I44" s="926" t="str">
        <f t="shared" si="1"/>
        <v>2.11.1</v>
      </c>
      <c r="J44" s="926" t="str">
        <f t="shared" si="2"/>
        <v>Расходы на текущий ремонт</v>
      </c>
      <c r="K44" s="926" t="str">
        <f t="shared" si="3"/>
        <v>Указываются расходы на текущий ремонт, отнесенные к общехозяйственным расходам.</v>
      </c>
      <c r="L44" s="769" t="str">
        <f t="shared" si="4"/>
        <v>2.11.1</v>
      </c>
      <c r="M44" s="769" t="str">
        <f t="shared" si="5"/>
        <v>Расходы на текущий ремонт</v>
      </c>
      <c r="N44" s="769" t="str">
        <f t="shared" si="6"/>
        <v>Указываются расходы на текущий ремонт, отнесенные к общехозяйственным расходам.</v>
      </c>
      <c r="O44" s="880" t="s">
        <v>2143</v>
      </c>
      <c r="P44" s="880" t="s">
        <v>2144</v>
      </c>
      <c r="Q44" s="880" t="s">
        <v>2143</v>
      </c>
      <c r="R44" s="880" t="s">
        <v>2144</v>
      </c>
      <c r="S44" s="880"/>
      <c r="T44" s="768" t="s">
        <v>2133</v>
      </c>
      <c r="U44" s="768" t="s">
        <v>2133</v>
      </c>
      <c r="V44" s="768" t="s">
        <v>2133</v>
      </c>
      <c r="W44" s="768" t="s">
        <v>2133</v>
      </c>
      <c r="X44" s="768"/>
      <c r="Y44" s="922"/>
      <c r="Z44" s="771" t="s">
        <v>2145</v>
      </c>
      <c r="AA44" s="771" t="s">
        <v>2145</v>
      </c>
      <c r="AB44" s="771" t="s">
        <v>2145</v>
      </c>
      <c r="AC44" s="771" t="s">
        <v>2145</v>
      </c>
      <c r="AD44" s="771"/>
    </row>
    <row r="45" spans="1:30" ht="27" customHeight="1">
      <c r="A45" s="770"/>
      <c r="B45" s="822">
        <v>28</v>
      </c>
      <c r="C45" s="768" t="s">
        <v>2146</v>
      </c>
      <c r="D45" s="890"/>
      <c r="E45" s="768"/>
      <c r="F45" s="768"/>
      <c r="G45" s="768"/>
      <c r="H45" s="814"/>
      <c r="I45" s="926" t="str">
        <f t="shared" si="1"/>
        <v>2.11.2</v>
      </c>
      <c r="J45" s="926" t="str">
        <f t="shared" si="2"/>
        <v>Расходы на капитальный ремонт</v>
      </c>
      <c r="K45" s="926" t="str">
        <f t="shared" si="3"/>
        <v>Указываются расходы на капитальный ремонт, отнесенные к общехозяйственным расходам.</v>
      </c>
      <c r="L45" s="769" t="str">
        <f t="shared" si="4"/>
        <v>2.11.2</v>
      </c>
      <c r="M45" s="769" t="str">
        <f t="shared" si="5"/>
        <v>Расходы на капитальный ремонт</v>
      </c>
      <c r="N45" s="769" t="str">
        <f t="shared" si="6"/>
        <v>Указываются расходы на капитальный ремонт, отнесенные к общехозяйственным расходам.</v>
      </c>
      <c r="O45" s="880" t="s">
        <v>2147</v>
      </c>
      <c r="P45" s="880" t="s">
        <v>2148</v>
      </c>
      <c r="Q45" s="880" t="s">
        <v>2147</v>
      </c>
      <c r="R45" s="880" t="s">
        <v>2148</v>
      </c>
      <c r="S45" s="880"/>
      <c r="T45" s="768" t="s">
        <v>2137</v>
      </c>
      <c r="U45" s="768" t="s">
        <v>2137</v>
      </c>
      <c r="V45" s="768" t="s">
        <v>2137</v>
      </c>
      <c r="W45" s="768" t="s">
        <v>2137</v>
      </c>
      <c r="X45" s="768"/>
      <c r="Y45" s="922"/>
      <c r="Z45" s="771" t="s">
        <v>2149</v>
      </c>
      <c r="AA45" s="771" t="s">
        <v>2149</v>
      </c>
      <c r="AB45" s="771" t="s">
        <v>2149</v>
      </c>
      <c r="AC45" s="771" t="s">
        <v>2149</v>
      </c>
      <c r="AD45" s="771"/>
    </row>
    <row r="46" spans="1:30" ht="54" customHeight="1">
      <c r="A46" s="770"/>
      <c r="B46" s="822">
        <v>29</v>
      </c>
      <c r="C46" s="768">
        <v>15</v>
      </c>
      <c r="D46" s="890"/>
      <c r="E46" s="768"/>
      <c r="F46" s="768"/>
      <c r="G46" s="768"/>
      <c r="H46" s="814"/>
      <c r="I46" s="926" t="str">
        <f t="shared" si="1"/>
        <v>2.12</v>
      </c>
      <c r="J46" s="926" t="str">
        <f t="shared" si="2"/>
        <v>Расходы на капитальный и текущий ремонт основных средств</v>
      </c>
      <c r="K46" s="926" t="str">
        <f t="shared" si="3"/>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769" t="str">
        <f t="shared" si="4"/>
        <v>2.12</v>
      </c>
      <c r="M46" s="769" t="str">
        <f t="shared" si="5"/>
        <v>Расходы на капитальный и текущий ремонт основных средств</v>
      </c>
      <c r="N46" s="769" t="str">
        <f t="shared" si="6"/>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880" t="s">
        <v>2150</v>
      </c>
      <c r="P46" s="880" t="s">
        <v>2128</v>
      </c>
      <c r="Q46" s="880" t="s">
        <v>2150</v>
      </c>
      <c r="R46" s="880" t="s">
        <v>2128</v>
      </c>
      <c r="S46" s="880"/>
      <c r="T46" s="769"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768" t="s">
        <v>2151</v>
      </c>
      <c r="V46" s="768" t="s">
        <v>2151</v>
      </c>
      <c r="W46" s="768" t="s">
        <v>2151</v>
      </c>
      <c r="X46" s="768"/>
      <c r="Y46" s="922"/>
      <c r="Z46" s="771" t="s">
        <v>2152</v>
      </c>
      <c r="AA46" s="771" t="s">
        <v>2153</v>
      </c>
      <c r="AB46" s="771" t="s">
        <v>2153</v>
      </c>
      <c r="AC46" s="771" t="s">
        <v>2153</v>
      </c>
      <c r="AD46" s="771"/>
    </row>
    <row r="47" spans="1:30" ht="54" customHeight="1">
      <c r="A47" s="770"/>
      <c r="B47" s="822">
        <v>30</v>
      </c>
      <c r="C47" s="768" t="s">
        <v>2154</v>
      </c>
      <c r="D47" s="890"/>
      <c r="E47" s="768"/>
      <c r="F47" s="768"/>
      <c r="G47" s="768"/>
      <c r="H47" s="814"/>
      <c r="I47" s="926" t="str">
        <f t="shared" si="1"/>
        <v>2.12.1</v>
      </c>
      <c r="J47" s="926"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926">
        <f t="shared" si="3"/>
        <v>0</v>
      </c>
      <c r="L47" s="769" t="str">
        <f t="shared" si="4"/>
        <v>2.12.1</v>
      </c>
      <c r="M47" s="769"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769" t="str">
        <f t="shared" si="6"/>
        <v/>
      </c>
      <c r="O47" s="880" t="s">
        <v>2155</v>
      </c>
      <c r="P47" s="880" t="s">
        <v>2132</v>
      </c>
      <c r="Q47" s="880" t="s">
        <v>2155</v>
      </c>
      <c r="R47" s="880" t="s">
        <v>2132</v>
      </c>
      <c r="S47" s="880"/>
      <c r="T47" s="768" t="s">
        <v>2156</v>
      </c>
      <c r="U47" s="768" t="s">
        <v>2156</v>
      </c>
      <c r="V47" s="768" t="s">
        <v>2156</v>
      </c>
      <c r="W47" s="768" t="s">
        <v>2156</v>
      </c>
      <c r="X47" s="768"/>
      <c r="Y47" s="922"/>
      <c r="Z47" s="771"/>
      <c r="AA47" s="774"/>
      <c r="AB47" s="774"/>
      <c r="AC47" s="774"/>
      <c r="AD47" s="771"/>
    </row>
    <row r="48" spans="1:30" ht="54" customHeight="1">
      <c r="A48" s="770"/>
      <c r="B48" s="822">
        <v>31</v>
      </c>
      <c r="C48" s="768">
        <v>16</v>
      </c>
      <c r="D48" s="890"/>
      <c r="E48" s="768"/>
      <c r="F48" s="768"/>
      <c r="G48" s="768"/>
      <c r="H48" s="814"/>
      <c r="I48" s="926">
        <f t="shared" si="1"/>
        <v>0</v>
      </c>
      <c r="J48" s="926">
        <f t="shared" si="2"/>
        <v>0</v>
      </c>
      <c r="K48" s="926">
        <f t="shared" si="3"/>
        <v>0</v>
      </c>
      <c r="L48" s="769" t="str">
        <f t="shared" si="4"/>
        <v/>
      </c>
      <c r="M48" s="769" t="str">
        <f t="shared" si="5"/>
        <v/>
      </c>
      <c r="N48" s="769" t="str">
        <f t="shared" si="6"/>
        <v/>
      </c>
      <c r="O48" s="880"/>
      <c r="P48" s="880" t="s">
        <v>2139</v>
      </c>
      <c r="Q48" s="880" t="s">
        <v>2157</v>
      </c>
      <c r="R48" s="880" t="s">
        <v>2139</v>
      </c>
      <c r="S48" s="880"/>
      <c r="T48" s="768"/>
      <c r="U48" s="768" t="s">
        <v>2158</v>
      </c>
      <c r="V48" s="768" t="s">
        <v>2159</v>
      </c>
      <c r="W48" s="768" t="s">
        <v>2159</v>
      </c>
      <c r="X48" s="768"/>
      <c r="Y48" s="922"/>
      <c r="Z48" s="771"/>
      <c r="AA48" s="774" t="s">
        <v>2153</v>
      </c>
      <c r="AB48" s="774" t="s">
        <v>2153</v>
      </c>
      <c r="AC48" s="774" t="s">
        <v>2153</v>
      </c>
      <c r="AD48" s="771"/>
    </row>
    <row r="49" spans="1:30" ht="54" customHeight="1">
      <c r="A49" s="770"/>
      <c r="B49" s="822">
        <v>32</v>
      </c>
      <c r="C49" s="768" t="s">
        <v>2160</v>
      </c>
      <c r="D49" s="890"/>
      <c r="E49" s="768"/>
      <c r="F49" s="768"/>
      <c r="G49" s="768"/>
      <c r="H49" s="814"/>
      <c r="I49" s="926">
        <f t="shared" si="1"/>
        <v>0</v>
      </c>
      <c r="J49" s="926">
        <f t="shared" si="2"/>
        <v>0</v>
      </c>
      <c r="K49" s="926">
        <f t="shared" si="3"/>
        <v>0</v>
      </c>
      <c r="L49" s="769" t="str">
        <f t="shared" si="4"/>
        <v/>
      </c>
      <c r="M49" s="769" t="str">
        <f t="shared" si="5"/>
        <v/>
      </c>
      <c r="N49" s="769" t="str">
        <f t="shared" si="6"/>
        <v/>
      </c>
      <c r="O49" s="880"/>
      <c r="P49" s="880" t="s">
        <v>2143</v>
      </c>
      <c r="Q49" s="880" t="s">
        <v>2161</v>
      </c>
      <c r="R49" s="880" t="s">
        <v>2143</v>
      </c>
      <c r="S49" s="880"/>
      <c r="T49" s="768"/>
      <c r="U49" s="768" t="s">
        <v>2156</v>
      </c>
      <c r="V49" s="768" t="s">
        <v>2156</v>
      </c>
      <c r="W49" s="768" t="s">
        <v>2156</v>
      </c>
      <c r="X49" s="768"/>
      <c r="Y49" s="922"/>
      <c r="Z49" s="771"/>
      <c r="AA49" s="774"/>
      <c r="AB49" s="774"/>
      <c r="AC49" s="774"/>
      <c r="AD49" s="771"/>
    </row>
    <row r="50" spans="1:30" ht="126" customHeight="1">
      <c r="A50" s="770"/>
      <c r="B50" s="822">
        <v>33</v>
      </c>
      <c r="C50" s="768">
        <v>17</v>
      </c>
      <c r="D50" s="890"/>
      <c r="E50" s="768"/>
      <c r="F50" s="768"/>
      <c r="G50" s="768"/>
      <c r="H50" s="814"/>
      <c r="I50" s="926" t="str">
        <f t="shared" ref="I50:I81" si="7">INDEX(TEMPLATE_NUMBER_POINT_FHD,B50,MATCH(TEMPLATE_SPHERE,TEMPLATE_SPHERE_LIST_FOR_NOTE,0))</f>
        <v>2.13</v>
      </c>
      <c r="J50" s="926" t="str">
        <f t="shared" ref="J50:J81" si="8">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926" t="str">
        <f t="shared" ref="K50:K81" si="9">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769" t="str">
        <f t="shared" ref="L50:L81" si="10">IF(I50=0,"",I50)</f>
        <v>2.13</v>
      </c>
      <c r="M50" s="769" t="str">
        <f t="shared" ref="M50:M81" si="11">IF(J50=0,"",J50)</f>
        <v>Прочие расходы, которые подлежат отнесению на регулируемые виды деятельности в соответствии с законодательством Российской Федерации</v>
      </c>
      <c r="N50" s="769" t="str">
        <f t="shared" ref="N50:N81" si="12">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880" t="s">
        <v>2157</v>
      </c>
      <c r="P50" s="880" t="s">
        <v>2150</v>
      </c>
      <c r="Q50" s="880" t="s">
        <v>2162</v>
      </c>
      <c r="R50" s="880" t="s">
        <v>2150</v>
      </c>
      <c r="S50" s="880"/>
      <c r="T50" s="768" t="s">
        <v>2163</v>
      </c>
      <c r="U50" s="768" t="s">
        <v>2164</v>
      </c>
      <c r="V50" s="768" t="s">
        <v>2165</v>
      </c>
      <c r="W50" s="768" t="s">
        <v>2166</v>
      </c>
      <c r="X50" s="768"/>
      <c r="Y50" s="922"/>
      <c r="Z50" s="771" t="s">
        <v>2167</v>
      </c>
      <c r="AA50" s="774" t="s">
        <v>2168</v>
      </c>
      <c r="AB50" s="774" t="s">
        <v>2168</v>
      </c>
      <c r="AC50" s="774" t="s">
        <v>2168</v>
      </c>
      <c r="AD50" s="771"/>
    </row>
    <row r="51" spans="1:30" ht="27" customHeight="1">
      <c r="A51" s="770"/>
      <c r="B51" s="822">
        <v>34</v>
      </c>
      <c r="C51" s="768" t="s">
        <v>2169</v>
      </c>
      <c r="D51" s="890"/>
      <c r="E51" s="768"/>
      <c r="F51" s="768"/>
      <c r="G51" s="768"/>
      <c r="H51" s="814"/>
      <c r="I51" s="926" t="str">
        <f t="shared" si="7"/>
        <v>3</v>
      </c>
      <c r="J51" s="926" t="str">
        <f t="shared" si="8"/>
        <v>Валовая прибыль (убытки) от реализации товаров и оказания услуг по регулируемому виду деятельности</v>
      </c>
      <c r="K51" s="926">
        <f t="shared" si="9"/>
        <v>0</v>
      </c>
      <c r="L51" s="769" t="str">
        <f t="shared" si="10"/>
        <v>3</v>
      </c>
      <c r="M51" s="769" t="str">
        <f t="shared" si="11"/>
        <v>Валовая прибыль (убытки) от реализации товаров и оказания услуг по регулируемому виду деятельности</v>
      </c>
      <c r="N51" s="769" t="str">
        <f t="shared" si="12"/>
        <v/>
      </c>
      <c r="O51" s="880" t="s">
        <v>91</v>
      </c>
      <c r="P51" s="880"/>
      <c r="Q51" s="880"/>
      <c r="R51" s="880"/>
      <c r="S51" s="880"/>
      <c r="T51" s="768" t="s">
        <v>2170</v>
      </c>
      <c r="U51" s="768"/>
      <c r="V51" s="768"/>
      <c r="W51" s="768"/>
      <c r="X51" s="768"/>
      <c r="Y51" s="922"/>
      <c r="Z51" s="771"/>
      <c r="AA51" s="774"/>
      <c r="AB51" s="774"/>
      <c r="AC51" s="774"/>
      <c r="AD51" s="771"/>
    </row>
    <row r="52" spans="1:30" ht="36" customHeight="1">
      <c r="A52" s="770"/>
      <c r="B52" s="822">
        <v>35</v>
      </c>
      <c r="C52" s="768" t="s">
        <v>2063</v>
      </c>
      <c r="D52" s="890" t="s">
        <v>2063</v>
      </c>
      <c r="E52" s="768" t="s">
        <v>2063</v>
      </c>
      <c r="F52" s="768" t="s">
        <v>2063</v>
      </c>
      <c r="G52" s="768"/>
      <c r="H52" s="814"/>
      <c r="I52" s="926" t="str">
        <f t="shared" si="7"/>
        <v>4</v>
      </c>
      <c r="J52" s="926" t="str">
        <f t="shared" si="8"/>
        <v>Чистая прибыль, полученная от регулируемого вида деятельности, в том числе:</v>
      </c>
      <c r="K52" s="926" t="str">
        <f t="shared" si="9"/>
        <v>Указывается общая сумма чистой прибыли, полученной от регулируемого вида деятельности.</v>
      </c>
      <c r="L52" s="769" t="str">
        <f t="shared" si="10"/>
        <v>4</v>
      </c>
      <c r="M52" s="769" t="str">
        <f t="shared" si="11"/>
        <v>Чистая прибыль, полученная от регулируемого вида деятельности, в том числе:</v>
      </c>
      <c r="N52" s="769" t="str">
        <f t="shared" si="12"/>
        <v>Указывается общая сумма чистой прибыли, полученной от регулируемого вида деятельности.</v>
      </c>
      <c r="O52" s="880" t="s">
        <v>92</v>
      </c>
      <c r="P52" s="880" t="s">
        <v>91</v>
      </c>
      <c r="Q52" s="880" t="s">
        <v>91</v>
      </c>
      <c r="R52" s="880" t="s">
        <v>91</v>
      </c>
      <c r="S52" s="880"/>
      <c r="T52" s="768" t="s">
        <v>2171</v>
      </c>
      <c r="U52" s="768" t="s">
        <v>2172</v>
      </c>
      <c r="V52" s="768" t="s">
        <v>2173</v>
      </c>
      <c r="W52" s="768" t="s">
        <v>2174</v>
      </c>
      <c r="X52" s="768"/>
      <c r="Y52" s="922"/>
      <c r="Z52" s="771" t="s">
        <v>782</v>
      </c>
      <c r="AA52" s="774" t="s">
        <v>782</v>
      </c>
      <c r="AB52" s="774" t="s">
        <v>782</v>
      </c>
      <c r="AC52" s="774" t="s">
        <v>782</v>
      </c>
      <c r="AD52" s="771"/>
    </row>
    <row r="53" spans="1:30" ht="36" customHeight="1">
      <c r="A53" s="770"/>
      <c r="B53" s="822">
        <v>36</v>
      </c>
      <c r="C53" s="768">
        <v>1</v>
      </c>
      <c r="D53" s="890"/>
      <c r="E53" s="768"/>
      <c r="F53" s="768"/>
      <c r="G53" s="768"/>
      <c r="H53" s="814"/>
      <c r="I53" s="926" t="str">
        <f t="shared" si="7"/>
        <v>4.1</v>
      </c>
      <c r="J53" s="926" t="str">
        <f t="shared" si="8"/>
        <v>Размер расходования чистой прибыли на финансирование мероприятий, предусмотренных инвестиционной программой регулируемой организации</v>
      </c>
      <c r="K53" s="926">
        <f t="shared" si="9"/>
        <v>0</v>
      </c>
      <c r="L53" s="769" t="str">
        <f t="shared" si="10"/>
        <v>4.1</v>
      </c>
      <c r="M53" s="769" t="str">
        <f t="shared" si="11"/>
        <v>Размер расходования чистой прибыли на финансирование мероприятий, предусмотренных инвестиционной программой регулируемой организации</v>
      </c>
      <c r="N53" s="769" t="str">
        <f t="shared" si="12"/>
        <v/>
      </c>
      <c r="O53" s="880" t="s">
        <v>786</v>
      </c>
      <c r="P53" s="880" t="s">
        <v>359</v>
      </c>
      <c r="Q53" s="880" t="s">
        <v>359</v>
      </c>
      <c r="R53" s="880" t="s">
        <v>359</v>
      </c>
      <c r="S53" s="880"/>
      <c r="T53" s="768" t="s">
        <v>2175</v>
      </c>
      <c r="U53" s="768" t="s">
        <v>2175</v>
      </c>
      <c r="V53" s="768" t="s">
        <v>2175</v>
      </c>
      <c r="W53" s="768" t="s">
        <v>2175</v>
      </c>
      <c r="X53" s="768"/>
      <c r="Y53" s="922"/>
      <c r="Z53" s="771"/>
      <c r="AA53" s="774"/>
      <c r="AB53" s="771"/>
      <c r="AC53" s="771"/>
      <c r="AD53" s="771"/>
    </row>
    <row r="54" spans="1:30" ht="18" customHeight="1">
      <c r="A54" s="770"/>
      <c r="B54" s="822">
        <v>37</v>
      </c>
      <c r="C54" s="768" t="s">
        <v>2069</v>
      </c>
      <c r="D54" s="890" t="s">
        <v>2069</v>
      </c>
      <c r="E54" s="768" t="s">
        <v>2069</v>
      </c>
      <c r="F54" s="768" t="s">
        <v>2069</v>
      </c>
      <c r="G54" s="768"/>
      <c r="H54" s="814"/>
      <c r="I54" s="926" t="str">
        <f t="shared" si="7"/>
        <v>5</v>
      </c>
      <c r="J54" s="926" t="str">
        <f t="shared" si="8"/>
        <v>Изменение стоимости основных фондов, в том числе:</v>
      </c>
      <c r="K54" s="926" t="str">
        <f t="shared" si="9"/>
        <v>Указывается общее изменение стоимости основных фондов.</v>
      </c>
      <c r="L54" s="769" t="str">
        <f t="shared" si="10"/>
        <v>5</v>
      </c>
      <c r="M54" s="769" t="str">
        <f t="shared" si="11"/>
        <v>Изменение стоимости основных фондов, в том числе:</v>
      </c>
      <c r="N54" s="769" t="str">
        <f t="shared" si="12"/>
        <v>Указывается общее изменение стоимости основных фондов.</v>
      </c>
      <c r="O54" s="880" t="s">
        <v>125</v>
      </c>
      <c r="P54" s="880" t="s">
        <v>92</v>
      </c>
      <c r="Q54" s="880" t="s">
        <v>92</v>
      </c>
      <c r="R54" s="880" t="s">
        <v>92</v>
      </c>
      <c r="S54" s="880"/>
      <c r="T54" s="768" t="s">
        <v>784</v>
      </c>
      <c r="U54" s="768" t="s">
        <v>784</v>
      </c>
      <c r="V54" s="768" t="s">
        <v>784</v>
      </c>
      <c r="W54" s="768" t="s">
        <v>784</v>
      </c>
      <c r="X54" s="768"/>
      <c r="Y54" s="922"/>
      <c r="Z54" s="771" t="s">
        <v>785</v>
      </c>
      <c r="AA54" s="771" t="s">
        <v>785</v>
      </c>
      <c r="AB54" s="771" t="s">
        <v>785</v>
      </c>
      <c r="AC54" s="771" t="s">
        <v>785</v>
      </c>
      <c r="AD54" s="771"/>
    </row>
    <row r="55" spans="1:30" ht="36" customHeight="1">
      <c r="A55" s="770"/>
      <c r="B55" s="822">
        <v>38</v>
      </c>
      <c r="C55" s="768">
        <v>1</v>
      </c>
      <c r="D55" s="890"/>
      <c r="E55" s="768"/>
      <c r="F55" s="768"/>
      <c r="G55" s="768"/>
      <c r="H55" s="814"/>
      <c r="I55" s="926" t="str">
        <f t="shared" si="7"/>
        <v>5.1</v>
      </c>
      <c r="J55" s="926" t="str">
        <f t="shared" si="8"/>
        <v>Изменение стоимости основных фондов за счет:</v>
      </c>
      <c r="K55" s="926" t="str">
        <f t="shared" si="9"/>
        <v>Указываются общее изменение стоимости основных фондов за счет их ввода в эксплуатацию и вывода из эксплуатации.</v>
      </c>
      <c r="L55" s="769" t="str">
        <f t="shared" si="10"/>
        <v>5.1</v>
      </c>
      <c r="M55" s="769" t="str">
        <f t="shared" si="11"/>
        <v>Изменение стоимости основных фондов за счет:</v>
      </c>
      <c r="N55" s="769" t="str">
        <f t="shared" si="12"/>
        <v>Указываются общее изменение стоимости основных фондов за счет их ввода в эксплуатацию и вывода из эксплуатации.</v>
      </c>
      <c r="O55" s="880" t="s">
        <v>348</v>
      </c>
      <c r="P55" s="880" t="s">
        <v>786</v>
      </c>
      <c r="Q55" s="880" t="s">
        <v>786</v>
      </c>
      <c r="R55" s="880" t="s">
        <v>786</v>
      </c>
      <c r="S55" s="880"/>
      <c r="T55" s="769"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768" t="s">
        <v>2176</v>
      </c>
      <c r="V55" s="768" t="s">
        <v>2176</v>
      </c>
      <c r="W55" s="768" t="s">
        <v>2176</v>
      </c>
      <c r="X55" s="768"/>
      <c r="Y55" s="922"/>
      <c r="Z55" s="771" t="s">
        <v>2177</v>
      </c>
      <c r="AA55" s="771" t="s">
        <v>2177</v>
      </c>
      <c r="AB55" s="771" t="s">
        <v>2177</v>
      </c>
      <c r="AC55" s="771" t="s">
        <v>2177</v>
      </c>
      <c r="AD55" s="771"/>
    </row>
    <row r="56" spans="1:30" ht="27" customHeight="1">
      <c r="A56" s="770"/>
      <c r="B56" s="822">
        <v>39</v>
      </c>
      <c r="C56" s="768" t="s">
        <v>1054</v>
      </c>
      <c r="D56" s="890"/>
      <c r="E56" s="768"/>
      <c r="F56" s="768"/>
      <c r="G56" s="768"/>
      <c r="H56" s="814"/>
      <c r="I56" s="926" t="str">
        <f t="shared" si="7"/>
        <v>5.1.1</v>
      </c>
      <c r="J56" s="926" t="str">
        <f t="shared" si="8"/>
        <v>Изменения стоимости основных фондов за счет их ввода в эксплуатацию</v>
      </c>
      <c r="K56" s="926" t="str">
        <f t="shared" si="9"/>
        <v>Указываются изменение стоимости основных фондов за счет их ввода в эксплуатацию.</v>
      </c>
      <c r="L56" s="769" t="str">
        <f t="shared" si="10"/>
        <v>5.1.1</v>
      </c>
      <c r="M56" s="769" t="str">
        <f t="shared" si="11"/>
        <v>Изменения стоимости основных фондов за счет их ввода в эксплуатацию</v>
      </c>
      <c r="N56" s="769" t="str">
        <f t="shared" si="12"/>
        <v>Указываются изменение стоимости основных фондов за счет их ввода в эксплуатацию.</v>
      </c>
      <c r="O56" s="880" t="s">
        <v>1171</v>
      </c>
      <c r="P56" s="880" t="s">
        <v>789</v>
      </c>
      <c r="Q56" s="880" t="s">
        <v>789</v>
      </c>
      <c r="R56" s="880" t="s">
        <v>789</v>
      </c>
      <c r="S56" s="880"/>
      <c r="T56" s="769"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768" t="s">
        <v>2178</v>
      </c>
      <c r="V56" s="768" t="s">
        <v>2178</v>
      </c>
      <c r="W56" s="768" t="s">
        <v>2178</v>
      </c>
      <c r="X56" s="768"/>
      <c r="Y56" s="922"/>
      <c r="Z56" s="771" t="s">
        <v>791</v>
      </c>
      <c r="AA56" s="771" t="s">
        <v>791</v>
      </c>
      <c r="AB56" s="771" t="s">
        <v>791</v>
      </c>
      <c r="AC56" s="771" t="s">
        <v>791</v>
      </c>
      <c r="AD56" s="771"/>
    </row>
    <row r="57" spans="1:30" ht="27" customHeight="1">
      <c r="A57" s="770"/>
      <c r="B57" s="822">
        <v>40</v>
      </c>
      <c r="C57" s="768" t="s">
        <v>1056</v>
      </c>
      <c r="D57" s="890"/>
      <c r="E57" s="768"/>
      <c r="F57" s="768"/>
      <c r="G57" s="768"/>
      <c r="H57" s="814"/>
      <c r="I57" s="926" t="str">
        <f t="shared" si="7"/>
        <v>5.1.2</v>
      </c>
      <c r="J57" s="926" t="str">
        <f t="shared" si="8"/>
        <v>Изменения стоимости основных фондов за счет их вывода в эксплуатацию</v>
      </c>
      <c r="K57" s="926" t="str">
        <f t="shared" si="9"/>
        <v>Указываются изменение стоимости основных фондов за счет их вывода из эксплуатации.</v>
      </c>
      <c r="L57" s="769" t="str">
        <f t="shared" si="10"/>
        <v>5.1.2</v>
      </c>
      <c r="M57" s="769" t="str">
        <f t="shared" si="11"/>
        <v>Изменения стоимости основных фондов за счет их вывода в эксплуатацию</v>
      </c>
      <c r="N57" s="769" t="str">
        <f t="shared" si="12"/>
        <v>Указываются изменение стоимости основных фондов за счет их вывода из эксплуатации.</v>
      </c>
      <c r="O57" s="880" t="s">
        <v>2179</v>
      </c>
      <c r="P57" s="880" t="s">
        <v>792</v>
      </c>
      <c r="Q57" s="880" t="s">
        <v>792</v>
      </c>
      <c r="R57" s="880" t="s">
        <v>792</v>
      </c>
      <c r="S57" s="880"/>
      <c r="T57" s="769"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768" t="s">
        <v>2180</v>
      </c>
      <c r="V57" s="768" t="s">
        <v>2180</v>
      </c>
      <c r="W57" s="768" t="s">
        <v>2180</v>
      </c>
      <c r="X57" s="768"/>
      <c r="Y57" s="922"/>
      <c r="Z57" s="771" t="s">
        <v>794</v>
      </c>
      <c r="AA57" s="771" t="s">
        <v>794</v>
      </c>
      <c r="AB57" s="771" t="s">
        <v>794</v>
      </c>
      <c r="AC57" s="771" t="s">
        <v>794</v>
      </c>
      <c r="AD57" s="771"/>
    </row>
    <row r="58" spans="1:30" ht="18" customHeight="1">
      <c r="A58" s="770"/>
      <c r="B58" s="822">
        <v>41</v>
      </c>
      <c r="C58" s="768">
        <v>2</v>
      </c>
      <c r="D58" s="890"/>
      <c r="E58" s="768"/>
      <c r="F58" s="768"/>
      <c r="G58" s="768"/>
      <c r="H58" s="814"/>
      <c r="I58" s="926" t="str">
        <f t="shared" si="7"/>
        <v>5.2</v>
      </c>
      <c r="J58" s="926" t="str">
        <f t="shared" si="8"/>
        <v>Изменение стоимости основных фондов за счет их переоценки</v>
      </c>
      <c r="K58" s="926">
        <f t="shared" si="9"/>
        <v>0</v>
      </c>
      <c r="L58" s="769" t="str">
        <f t="shared" si="10"/>
        <v>5.2</v>
      </c>
      <c r="M58" s="769" t="str">
        <f t="shared" si="11"/>
        <v>Изменение стоимости основных фондов за счет их переоценки</v>
      </c>
      <c r="N58" s="769" t="str">
        <f t="shared" si="12"/>
        <v/>
      </c>
      <c r="O58" s="880" t="s">
        <v>914</v>
      </c>
      <c r="P58" s="880" t="s">
        <v>828</v>
      </c>
      <c r="Q58" s="880" t="s">
        <v>828</v>
      </c>
      <c r="R58" s="880" t="s">
        <v>828</v>
      </c>
      <c r="S58" s="880"/>
      <c r="T58" s="769"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768" t="s">
        <v>2181</v>
      </c>
      <c r="V58" s="768" t="s">
        <v>2181</v>
      </c>
      <c r="W58" s="768" t="s">
        <v>2181</v>
      </c>
      <c r="X58" s="768"/>
      <c r="Y58" s="922"/>
      <c r="Z58" s="771"/>
      <c r="AA58" s="774"/>
      <c r="AB58" s="771"/>
      <c r="AC58" s="771"/>
      <c r="AD58" s="771"/>
    </row>
    <row r="59" spans="1:30" ht="36" customHeight="1">
      <c r="A59" s="770"/>
      <c r="B59" s="822">
        <v>42</v>
      </c>
      <c r="C59" s="768">
        <v>3</v>
      </c>
      <c r="D59" s="890" t="s">
        <v>2169</v>
      </c>
      <c r="E59" s="768" t="s">
        <v>2169</v>
      </c>
      <c r="F59" s="768" t="s">
        <v>2169</v>
      </c>
      <c r="G59" s="768"/>
      <c r="H59" s="814"/>
      <c r="I59" s="926">
        <f t="shared" si="7"/>
        <v>0</v>
      </c>
      <c r="J59" s="926">
        <f t="shared" si="8"/>
        <v>0</v>
      </c>
      <c r="K59" s="926">
        <f t="shared" si="9"/>
        <v>0</v>
      </c>
      <c r="L59" s="769" t="str">
        <f t="shared" si="10"/>
        <v/>
      </c>
      <c r="M59" s="769" t="str">
        <f t="shared" si="11"/>
        <v/>
      </c>
      <c r="N59" s="769" t="str">
        <f t="shared" si="12"/>
        <v/>
      </c>
      <c r="O59" s="880"/>
      <c r="P59" s="880" t="s">
        <v>125</v>
      </c>
      <c r="Q59" s="880" t="s">
        <v>125</v>
      </c>
      <c r="R59" s="880" t="s">
        <v>125</v>
      </c>
      <c r="S59" s="880"/>
      <c r="T59" s="768"/>
      <c r="U59" s="768" t="s">
        <v>2182</v>
      </c>
      <c r="V59" s="768" t="s">
        <v>2183</v>
      </c>
      <c r="W59" s="768" t="s">
        <v>2184</v>
      </c>
      <c r="X59" s="768"/>
      <c r="Y59" s="922"/>
      <c r="Z59" s="771"/>
      <c r="AA59" s="774"/>
      <c r="AB59" s="771"/>
      <c r="AC59" s="771"/>
      <c r="AD59" s="771"/>
    </row>
    <row r="60" spans="1:30" ht="81" customHeight="1">
      <c r="A60" s="770"/>
      <c r="B60" s="822">
        <v>43</v>
      </c>
      <c r="C60" s="768" t="s">
        <v>2185</v>
      </c>
      <c r="D60" s="890" t="s">
        <v>2185</v>
      </c>
      <c r="E60" s="768" t="s">
        <v>2185</v>
      </c>
      <c r="F60" s="768" t="s">
        <v>2185</v>
      </c>
      <c r="G60" s="768"/>
      <c r="H60" s="814"/>
      <c r="I60" s="926" t="str">
        <f t="shared" si="7"/>
        <v>6</v>
      </c>
      <c r="J60" s="926" t="str">
        <f t="shared" si="8"/>
        <v>Годовая бухгалтерская (финансовая) отчетность, включая бухгалтерский баланс и приложения к нему</v>
      </c>
      <c r="K60" s="926" t="str">
        <f t="shared" si="9"/>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769" t="str">
        <f t="shared" si="10"/>
        <v>6</v>
      </c>
      <c r="M60" s="769" t="str">
        <f t="shared" si="11"/>
        <v>Годовая бухгалтерская (финансовая) отчетность, включая бухгалтерский баланс и приложения к нему</v>
      </c>
      <c r="N60" s="769" t="str">
        <f t="shared" si="12"/>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880" t="s">
        <v>93</v>
      </c>
      <c r="P60" s="880" t="s">
        <v>93</v>
      </c>
      <c r="Q60" s="880" t="s">
        <v>93</v>
      </c>
      <c r="R60" s="880" t="s">
        <v>93</v>
      </c>
      <c r="S60" s="880"/>
      <c r="T60" s="768" t="s">
        <v>662</v>
      </c>
      <c r="U60" s="768" t="s">
        <v>662</v>
      </c>
      <c r="V60" s="768" t="s">
        <v>662</v>
      </c>
      <c r="W60" s="768" t="s">
        <v>662</v>
      </c>
      <c r="X60" s="768"/>
      <c r="Y60" s="922"/>
      <c r="Z60" s="771" t="s">
        <v>2186</v>
      </c>
      <c r="AA60" s="774" t="s">
        <v>2187</v>
      </c>
      <c r="AB60" s="771" t="s">
        <v>2188</v>
      </c>
      <c r="AC60" s="771" t="s">
        <v>2187</v>
      </c>
      <c r="AD60" s="771"/>
    </row>
    <row r="61" spans="1:30" ht="9" customHeight="1">
      <c r="A61" s="770"/>
      <c r="B61" s="822">
        <v>44</v>
      </c>
      <c r="C61" s="768"/>
      <c r="D61" s="890" t="s">
        <v>2189</v>
      </c>
      <c r="E61" s="768"/>
      <c r="F61" s="768"/>
      <c r="G61" s="768"/>
      <c r="H61" s="814"/>
      <c r="I61" s="926">
        <f t="shared" si="7"/>
        <v>0</v>
      </c>
      <c r="J61" s="926">
        <f t="shared" si="8"/>
        <v>0</v>
      </c>
      <c r="K61" s="926">
        <f t="shared" si="9"/>
        <v>0</v>
      </c>
      <c r="L61" s="769" t="str">
        <f t="shared" si="10"/>
        <v/>
      </c>
      <c r="M61" s="769" t="str">
        <f t="shared" si="11"/>
        <v/>
      </c>
      <c r="N61" s="769" t="str">
        <f t="shared" si="12"/>
        <v/>
      </c>
      <c r="O61" s="880"/>
      <c r="P61" s="880" t="s">
        <v>94</v>
      </c>
      <c r="Q61" s="880"/>
      <c r="R61" s="880"/>
      <c r="S61" s="880"/>
      <c r="T61" s="768"/>
      <c r="U61" s="768" t="s">
        <v>2190</v>
      </c>
      <c r="V61" s="768"/>
      <c r="W61" s="768"/>
      <c r="X61" s="768"/>
      <c r="Y61" s="922"/>
      <c r="Z61" s="771"/>
      <c r="AA61" s="774"/>
      <c r="AB61" s="771"/>
      <c r="AC61" s="771"/>
      <c r="AD61" s="771"/>
    </row>
    <row r="62" spans="1:30" ht="9" customHeight="1">
      <c r="A62" s="770"/>
      <c r="B62" s="822">
        <v>45</v>
      </c>
      <c r="C62" s="768"/>
      <c r="D62" s="890" t="s">
        <v>2191</v>
      </c>
      <c r="E62" s="768"/>
      <c r="F62" s="768"/>
      <c r="G62" s="768"/>
      <c r="H62" s="814"/>
      <c r="I62" s="926">
        <f t="shared" si="7"/>
        <v>0</v>
      </c>
      <c r="J62" s="926">
        <f t="shared" si="8"/>
        <v>0</v>
      </c>
      <c r="K62" s="926">
        <f t="shared" si="9"/>
        <v>0</v>
      </c>
      <c r="L62" s="769" t="str">
        <f t="shared" si="10"/>
        <v/>
      </c>
      <c r="M62" s="769" t="str">
        <f t="shared" si="11"/>
        <v/>
      </c>
      <c r="N62" s="769" t="str">
        <f t="shared" si="12"/>
        <v/>
      </c>
      <c r="O62" s="880"/>
      <c r="P62" s="880" t="s">
        <v>126</v>
      </c>
      <c r="Q62" s="880"/>
      <c r="R62" s="880"/>
      <c r="S62" s="880"/>
      <c r="T62" s="768"/>
      <c r="U62" s="768" t="s">
        <v>2192</v>
      </c>
      <c r="V62" s="768"/>
      <c r="W62" s="768"/>
      <c r="X62" s="768"/>
      <c r="Y62" s="922"/>
      <c r="Z62" s="771"/>
      <c r="AA62" s="774"/>
      <c r="AB62" s="771"/>
      <c r="AC62" s="771"/>
      <c r="AD62" s="771"/>
    </row>
    <row r="63" spans="1:30" ht="18" customHeight="1">
      <c r="A63" s="770"/>
      <c r="B63" s="822">
        <v>46</v>
      </c>
      <c r="C63" s="768"/>
      <c r="D63" s="890" t="s">
        <v>2193</v>
      </c>
      <c r="E63" s="768"/>
      <c r="F63" s="768"/>
      <c r="G63" s="768"/>
      <c r="H63" s="814"/>
      <c r="I63" s="926">
        <f t="shared" si="7"/>
        <v>0</v>
      </c>
      <c r="J63" s="926">
        <f t="shared" si="8"/>
        <v>0</v>
      </c>
      <c r="K63" s="926">
        <f t="shared" si="9"/>
        <v>0</v>
      </c>
      <c r="L63" s="769" t="str">
        <f t="shared" si="10"/>
        <v/>
      </c>
      <c r="M63" s="769" t="str">
        <f t="shared" si="11"/>
        <v/>
      </c>
      <c r="N63" s="769" t="str">
        <f t="shared" si="12"/>
        <v/>
      </c>
      <c r="O63" s="880"/>
      <c r="P63" s="880" t="s">
        <v>107</v>
      </c>
      <c r="Q63" s="880"/>
      <c r="R63" s="880"/>
      <c r="S63" s="880"/>
      <c r="T63" s="768"/>
      <c r="U63" s="768" t="s">
        <v>2194</v>
      </c>
      <c r="V63" s="768"/>
      <c r="W63" s="768"/>
      <c r="X63" s="768"/>
      <c r="Y63" s="922"/>
      <c r="Z63" s="771"/>
      <c r="AA63" s="774"/>
      <c r="AB63" s="771"/>
      <c r="AC63" s="771"/>
      <c r="AD63" s="771"/>
    </row>
    <row r="64" spans="1:30" ht="18" customHeight="1">
      <c r="A64" s="770"/>
      <c r="B64" s="822">
        <v>47</v>
      </c>
      <c r="C64" s="768"/>
      <c r="D64" s="890" t="s">
        <v>2195</v>
      </c>
      <c r="E64" s="768"/>
      <c r="F64" s="768"/>
      <c r="G64" s="768"/>
      <c r="H64" s="814"/>
      <c r="I64" s="926">
        <f t="shared" si="7"/>
        <v>0</v>
      </c>
      <c r="J64" s="926">
        <f t="shared" si="8"/>
        <v>0</v>
      </c>
      <c r="K64" s="926">
        <f t="shared" si="9"/>
        <v>0</v>
      </c>
      <c r="L64" s="769" t="str">
        <f t="shared" si="10"/>
        <v/>
      </c>
      <c r="M64" s="769" t="str">
        <f t="shared" si="11"/>
        <v/>
      </c>
      <c r="N64" s="769" t="str">
        <f t="shared" si="12"/>
        <v/>
      </c>
      <c r="O64" s="880"/>
      <c r="P64" s="880" t="s">
        <v>162</v>
      </c>
      <c r="Q64" s="880"/>
      <c r="R64" s="880"/>
      <c r="S64" s="880"/>
      <c r="T64" s="768"/>
      <c r="U64" s="768" t="s">
        <v>2196</v>
      </c>
      <c r="V64" s="768"/>
      <c r="W64" s="768"/>
      <c r="X64" s="768"/>
      <c r="Y64" s="922"/>
      <c r="Z64" s="771"/>
      <c r="AA64" s="774" t="s">
        <v>2197</v>
      </c>
      <c r="AB64" s="771"/>
      <c r="AC64" s="771"/>
      <c r="AD64" s="771"/>
    </row>
    <row r="65" spans="1:30" ht="18" customHeight="1">
      <c r="A65" s="770"/>
      <c r="B65" s="822">
        <v>48</v>
      </c>
      <c r="C65" s="768"/>
      <c r="D65" s="890"/>
      <c r="E65" s="768"/>
      <c r="F65" s="768"/>
      <c r="G65" s="768"/>
      <c r="H65" s="814"/>
      <c r="I65" s="926">
        <f t="shared" si="7"/>
        <v>0</v>
      </c>
      <c r="J65" s="926">
        <f t="shared" si="8"/>
        <v>0</v>
      </c>
      <c r="K65" s="926">
        <f t="shared" si="9"/>
        <v>0</v>
      </c>
      <c r="L65" s="769" t="str">
        <f t="shared" si="10"/>
        <v/>
      </c>
      <c r="M65" s="769" t="str">
        <f t="shared" si="11"/>
        <v/>
      </c>
      <c r="N65" s="769" t="str">
        <f t="shared" si="12"/>
        <v/>
      </c>
      <c r="O65" s="880"/>
      <c r="P65" s="880" t="s">
        <v>2110</v>
      </c>
      <c r="Q65" s="880"/>
      <c r="R65" s="880"/>
      <c r="S65" s="880"/>
      <c r="T65" s="768"/>
      <c r="U65" s="768" t="s">
        <v>2198</v>
      </c>
      <c r="V65" s="768"/>
      <c r="W65" s="768"/>
      <c r="X65" s="768"/>
      <c r="Y65" s="922"/>
      <c r="Z65" s="771"/>
      <c r="AA65" s="774"/>
      <c r="AB65" s="771"/>
      <c r="AC65" s="771"/>
      <c r="AD65" s="771"/>
    </row>
    <row r="66" spans="1:30" ht="18" customHeight="1">
      <c r="A66" s="770"/>
      <c r="B66" s="822">
        <v>49</v>
      </c>
      <c r="C66" s="768"/>
      <c r="D66" s="890"/>
      <c r="E66" s="768"/>
      <c r="F66" s="768"/>
      <c r="G66" s="768"/>
      <c r="H66" s="814"/>
      <c r="I66" s="926">
        <f t="shared" si="7"/>
        <v>0</v>
      </c>
      <c r="J66" s="926">
        <f t="shared" si="8"/>
        <v>0</v>
      </c>
      <c r="K66" s="926">
        <f t="shared" si="9"/>
        <v>0</v>
      </c>
      <c r="L66" s="769" t="str">
        <f t="shared" si="10"/>
        <v/>
      </c>
      <c r="M66" s="769" t="str">
        <f t="shared" si="11"/>
        <v/>
      </c>
      <c r="N66" s="769" t="str">
        <f t="shared" si="12"/>
        <v/>
      </c>
      <c r="O66" s="880"/>
      <c r="P66" s="880" t="s">
        <v>2114</v>
      </c>
      <c r="Q66" s="880"/>
      <c r="R66" s="880"/>
      <c r="S66" s="880"/>
      <c r="T66" s="768"/>
      <c r="U66" s="768" t="s">
        <v>2199</v>
      </c>
      <c r="V66" s="768"/>
      <c r="W66" s="768"/>
      <c r="X66" s="768"/>
      <c r="Y66" s="922"/>
      <c r="Z66" s="771"/>
      <c r="AA66" s="774"/>
      <c r="AB66" s="771"/>
      <c r="AC66" s="771"/>
      <c r="AD66" s="771"/>
    </row>
    <row r="67" spans="1:30" ht="27" customHeight="1">
      <c r="A67" s="770"/>
      <c r="B67" s="822">
        <v>50</v>
      </c>
      <c r="C67" s="768"/>
      <c r="D67" s="890"/>
      <c r="E67" s="768"/>
      <c r="F67" s="768"/>
      <c r="G67" s="768"/>
      <c r="H67" s="814"/>
      <c r="I67" s="926">
        <f t="shared" si="7"/>
        <v>0</v>
      </c>
      <c r="J67" s="926">
        <f t="shared" si="8"/>
        <v>0</v>
      </c>
      <c r="K67" s="926">
        <f t="shared" si="9"/>
        <v>0</v>
      </c>
      <c r="L67" s="769" t="str">
        <f t="shared" si="10"/>
        <v/>
      </c>
      <c r="M67" s="769" t="str">
        <f t="shared" si="11"/>
        <v/>
      </c>
      <c r="N67" s="769" t="str">
        <f t="shared" si="12"/>
        <v/>
      </c>
      <c r="O67" s="880"/>
      <c r="P67" s="880" t="s">
        <v>2200</v>
      </c>
      <c r="Q67" s="880"/>
      <c r="R67" s="880"/>
      <c r="S67" s="880"/>
      <c r="T67" s="768"/>
      <c r="U67" s="768" t="s">
        <v>2201</v>
      </c>
      <c r="V67" s="768"/>
      <c r="W67" s="768"/>
      <c r="X67" s="768"/>
      <c r="Y67" s="922"/>
      <c r="Z67" s="771"/>
      <c r="AA67" s="774"/>
      <c r="AB67" s="771"/>
      <c r="AC67" s="771"/>
      <c r="AD67" s="771"/>
    </row>
    <row r="68" spans="1:30" ht="27" customHeight="1">
      <c r="A68" s="770"/>
      <c r="B68" s="822">
        <v>51</v>
      </c>
      <c r="C68" s="768"/>
      <c r="D68" s="890"/>
      <c r="E68" s="768"/>
      <c r="F68" s="768"/>
      <c r="G68" s="768"/>
      <c r="H68" s="814"/>
      <c r="I68" s="926">
        <f t="shared" si="7"/>
        <v>0</v>
      </c>
      <c r="J68" s="926">
        <f t="shared" si="8"/>
        <v>0</v>
      </c>
      <c r="K68" s="926">
        <f t="shared" si="9"/>
        <v>0</v>
      </c>
      <c r="L68" s="769" t="str">
        <f t="shared" si="10"/>
        <v/>
      </c>
      <c r="M68" s="769" t="str">
        <f t="shared" si="11"/>
        <v/>
      </c>
      <c r="N68" s="769" t="str">
        <f t="shared" si="12"/>
        <v/>
      </c>
      <c r="O68" s="880"/>
      <c r="P68" s="880" t="s">
        <v>2202</v>
      </c>
      <c r="Q68" s="880"/>
      <c r="R68" s="880"/>
      <c r="S68" s="880"/>
      <c r="T68" s="768"/>
      <c r="U68" s="768" t="s">
        <v>2203</v>
      </c>
      <c r="V68" s="768"/>
      <c r="W68" s="768"/>
      <c r="X68" s="768"/>
      <c r="Y68" s="922"/>
      <c r="Z68" s="771"/>
      <c r="AA68" s="774"/>
      <c r="AB68" s="771"/>
      <c r="AC68" s="771"/>
      <c r="AD68" s="771"/>
    </row>
    <row r="69" spans="1:30" ht="9" customHeight="1">
      <c r="A69" s="770"/>
      <c r="B69" s="822">
        <v>52</v>
      </c>
      <c r="C69" s="768"/>
      <c r="D69" s="890" t="s">
        <v>2204</v>
      </c>
      <c r="E69" s="768"/>
      <c r="F69" s="768"/>
      <c r="G69" s="768"/>
      <c r="H69" s="814"/>
      <c r="I69" s="926">
        <f t="shared" si="7"/>
        <v>0</v>
      </c>
      <c r="J69" s="926">
        <f t="shared" si="8"/>
        <v>0</v>
      </c>
      <c r="K69" s="926">
        <f t="shared" si="9"/>
        <v>0</v>
      </c>
      <c r="L69" s="769" t="str">
        <f t="shared" si="10"/>
        <v/>
      </c>
      <c r="M69" s="769" t="str">
        <f t="shared" si="11"/>
        <v/>
      </c>
      <c r="N69" s="769" t="str">
        <f t="shared" si="12"/>
        <v/>
      </c>
      <c r="O69" s="880"/>
      <c r="P69" s="880" t="s">
        <v>163</v>
      </c>
      <c r="Q69" s="880"/>
      <c r="R69" s="880"/>
      <c r="S69" s="880"/>
      <c r="T69" s="768"/>
      <c r="U69" s="768" t="s">
        <v>2205</v>
      </c>
      <c r="V69" s="768"/>
      <c r="W69" s="768"/>
      <c r="X69" s="768"/>
      <c r="Y69" s="922"/>
      <c r="Z69" s="771"/>
      <c r="AA69" s="774"/>
      <c r="AB69" s="771"/>
      <c r="AC69" s="771"/>
      <c r="AD69" s="771"/>
    </row>
    <row r="70" spans="1:30" ht="27" customHeight="1">
      <c r="A70" s="770"/>
      <c r="B70" s="822">
        <v>53</v>
      </c>
      <c r="C70" s="768"/>
      <c r="D70" s="890"/>
      <c r="E70" s="768" t="s">
        <v>2189</v>
      </c>
      <c r="F70" s="768"/>
      <c r="G70" s="768"/>
      <c r="H70" s="814"/>
      <c r="I70" s="926">
        <f t="shared" si="7"/>
        <v>0</v>
      </c>
      <c r="J70" s="926">
        <f t="shared" si="8"/>
        <v>0</v>
      </c>
      <c r="K70" s="926">
        <f t="shared" si="9"/>
        <v>0</v>
      </c>
      <c r="L70" s="769" t="str">
        <f t="shared" si="10"/>
        <v/>
      </c>
      <c r="M70" s="769" t="str">
        <f t="shared" si="11"/>
        <v/>
      </c>
      <c r="N70" s="769" t="str">
        <f t="shared" si="12"/>
        <v/>
      </c>
      <c r="O70" s="880"/>
      <c r="P70" s="880"/>
      <c r="Q70" s="880" t="s">
        <v>94</v>
      </c>
      <c r="R70" s="880"/>
      <c r="S70" s="880"/>
      <c r="T70" s="768"/>
      <c r="U70" s="768"/>
      <c r="V70" s="768" t="s">
        <v>2206</v>
      </c>
      <c r="W70" s="768"/>
      <c r="X70" s="768"/>
      <c r="Y70" s="922"/>
      <c r="Z70" s="771"/>
      <c r="AA70" s="774"/>
      <c r="AB70" s="771"/>
      <c r="AC70" s="771"/>
      <c r="AD70" s="771"/>
    </row>
    <row r="71" spans="1:30" ht="36" customHeight="1">
      <c r="A71" s="770"/>
      <c r="B71" s="822">
        <v>54</v>
      </c>
      <c r="C71" s="768"/>
      <c r="D71" s="890"/>
      <c r="E71" s="768" t="s">
        <v>2191</v>
      </c>
      <c r="F71" s="768"/>
      <c r="G71" s="768"/>
      <c r="H71" s="814"/>
      <c r="I71" s="926">
        <f t="shared" si="7"/>
        <v>0</v>
      </c>
      <c r="J71" s="926">
        <f t="shared" si="8"/>
        <v>0</v>
      </c>
      <c r="K71" s="926">
        <f t="shared" si="9"/>
        <v>0</v>
      </c>
      <c r="L71" s="769" t="str">
        <f t="shared" si="10"/>
        <v/>
      </c>
      <c r="M71" s="769" t="str">
        <f t="shared" si="11"/>
        <v/>
      </c>
      <c r="N71" s="769" t="str">
        <f t="shared" si="12"/>
        <v/>
      </c>
      <c r="O71" s="880"/>
      <c r="P71" s="880"/>
      <c r="Q71" s="880" t="s">
        <v>126</v>
      </c>
      <c r="R71" s="880"/>
      <c r="S71" s="880"/>
      <c r="T71" s="768"/>
      <c r="U71" s="768"/>
      <c r="V71" s="768" t="s">
        <v>2207</v>
      </c>
      <c r="W71" s="768"/>
      <c r="X71" s="768"/>
      <c r="Y71" s="922"/>
      <c r="Z71" s="771"/>
      <c r="AA71" s="774"/>
      <c r="AB71" s="771"/>
      <c r="AC71" s="771"/>
      <c r="AD71" s="771"/>
    </row>
    <row r="72" spans="1:30" ht="27" customHeight="1">
      <c r="A72" s="770"/>
      <c r="B72" s="822">
        <v>55</v>
      </c>
      <c r="C72" s="768"/>
      <c r="D72" s="890"/>
      <c r="E72" s="768" t="s">
        <v>2193</v>
      </c>
      <c r="F72" s="768"/>
      <c r="G72" s="768"/>
      <c r="H72" s="814"/>
      <c r="I72" s="926">
        <f t="shared" si="7"/>
        <v>0</v>
      </c>
      <c r="J72" s="926">
        <f t="shared" si="8"/>
        <v>0</v>
      </c>
      <c r="K72" s="926">
        <f t="shared" si="9"/>
        <v>0</v>
      </c>
      <c r="L72" s="769" t="str">
        <f t="shared" si="10"/>
        <v/>
      </c>
      <c r="M72" s="769" t="str">
        <f t="shared" si="11"/>
        <v/>
      </c>
      <c r="N72" s="769" t="str">
        <f t="shared" si="12"/>
        <v/>
      </c>
      <c r="O72" s="880"/>
      <c r="P72" s="880"/>
      <c r="Q72" s="880" t="s">
        <v>107</v>
      </c>
      <c r="R72" s="880"/>
      <c r="S72" s="880"/>
      <c r="T72" s="768"/>
      <c r="U72" s="768"/>
      <c r="V72" s="768" t="s">
        <v>2208</v>
      </c>
      <c r="W72" s="768"/>
      <c r="X72" s="768"/>
      <c r="Y72" s="922"/>
      <c r="Z72" s="771"/>
      <c r="AA72" s="774"/>
      <c r="AB72" s="771"/>
      <c r="AC72" s="771"/>
      <c r="AD72" s="771"/>
    </row>
    <row r="73" spans="1:30" ht="36" customHeight="1">
      <c r="A73" s="770"/>
      <c r="B73" s="822">
        <v>56</v>
      </c>
      <c r="C73" s="768"/>
      <c r="D73" s="890"/>
      <c r="E73" s="768" t="s">
        <v>2195</v>
      </c>
      <c r="F73" s="768"/>
      <c r="G73" s="768"/>
      <c r="H73" s="814"/>
      <c r="I73" s="926">
        <f t="shared" si="7"/>
        <v>0</v>
      </c>
      <c r="J73" s="926">
        <f t="shared" si="8"/>
        <v>0</v>
      </c>
      <c r="K73" s="926">
        <f t="shared" si="9"/>
        <v>0</v>
      </c>
      <c r="L73" s="769" t="str">
        <f t="shared" si="10"/>
        <v/>
      </c>
      <c r="M73" s="769" t="str">
        <f t="shared" si="11"/>
        <v/>
      </c>
      <c r="N73" s="769" t="str">
        <f t="shared" si="12"/>
        <v/>
      </c>
      <c r="O73" s="880"/>
      <c r="P73" s="880"/>
      <c r="Q73" s="880" t="s">
        <v>162</v>
      </c>
      <c r="R73" s="880"/>
      <c r="S73" s="880"/>
      <c r="T73" s="768"/>
      <c r="U73" s="768"/>
      <c r="V73" s="768" t="s">
        <v>2209</v>
      </c>
      <c r="W73" s="768"/>
      <c r="X73" s="768"/>
      <c r="Y73" s="922"/>
      <c r="Z73" s="771"/>
      <c r="AA73" s="774"/>
      <c r="AB73" s="771"/>
      <c r="AC73" s="771"/>
      <c r="AD73" s="771"/>
    </row>
    <row r="74" spans="1:30" ht="18" customHeight="1">
      <c r="A74" s="770"/>
      <c r="B74" s="822">
        <v>57</v>
      </c>
      <c r="C74" s="768"/>
      <c r="D74" s="890"/>
      <c r="E74" s="768" t="s">
        <v>2204</v>
      </c>
      <c r="F74" s="768"/>
      <c r="G74" s="768"/>
      <c r="H74" s="814"/>
      <c r="I74" s="926">
        <f t="shared" si="7"/>
        <v>0</v>
      </c>
      <c r="J74" s="926">
        <f t="shared" si="8"/>
        <v>0</v>
      </c>
      <c r="K74" s="926">
        <f t="shared" si="9"/>
        <v>0</v>
      </c>
      <c r="L74" s="769" t="str">
        <f t="shared" si="10"/>
        <v/>
      </c>
      <c r="M74" s="769" t="str">
        <f t="shared" si="11"/>
        <v/>
      </c>
      <c r="N74" s="769" t="str">
        <f t="shared" si="12"/>
        <v/>
      </c>
      <c r="O74" s="880"/>
      <c r="P74" s="880"/>
      <c r="Q74" s="880" t="s">
        <v>163</v>
      </c>
      <c r="R74" s="880"/>
      <c r="S74" s="880"/>
      <c r="T74" s="768"/>
      <c r="U74" s="768"/>
      <c r="V74" s="768" t="s">
        <v>2210</v>
      </c>
      <c r="W74" s="768"/>
      <c r="X74" s="768"/>
      <c r="Y74" s="922"/>
      <c r="Z74" s="771"/>
      <c r="AA74" s="774"/>
      <c r="AB74" s="771"/>
      <c r="AC74" s="771"/>
      <c r="AD74" s="771"/>
    </row>
    <row r="75" spans="1:30" ht="18" customHeight="1">
      <c r="A75" s="770"/>
      <c r="B75" s="822">
        <v>58</v>
      </c>
      <c r="C75" s="768"/>
      <c r="D75" s="890"/>
      <c r="E75" s="768"/>
      <c r="F75" s="768" t="s">
        <v>2189</v>
      </c>
      <c r="G75" s="768"/>
      <c r="H75" s="814"/>
      <c r="I75" s="926">
        <f t="shared" si="7"/>
        <v>0</v>
      </c>
      <c r="J75" s="926">
        <f t="shared" si="8"/>
        <v>0</v>
      </c>
      <c r="K75" s="926">
        <f t="shared" si="9"/>
        <v>0</v>
      </c>
      <c r="L75" s="769" t="str">
        <f t="shared" si="10"/>
        <v/>
      </c>
      <c r="M75" s="769" t="str">
        <f t="shared" si="11"/>
        <v/>
      </c>
      <c r="N75" s="769" t="str">
        <f t="shared" si="12"/>
        <v/>
      </c>
      <c r="O75" s="880"/>
      <c r="P75" s="880"/>
      <c r="Q75" s="880"/>
      <c r="R75" s="880" t="s">
        <v>94</v>
      </c>
      <c r="S75" s="880"/>
      <c r="T75" s="768"/>
      <c r="U75" s="768"/>
      <c r="V75" s="768"/>
      <c r="W75" s="768" t="s">
        <v>2211</v>
      </c>
      <c r="X75" s="768"/>
      <c r="Y75" s="922"/>
      <c r="Z75" s="771"/>
      <c r="AA75" s="774"/>
      <c r="AB75" s="771"/>
      <c r="AC75" s="771"/>
      <c r="AD75" s="771"/>
    </row>
    <row r="76" spans="1:30" ht="36" customHeight="1">
      <c r="A76" s="770"/>
      <c r="B76" s="822">
        <v>59</v>
      </c>
      <c r="C76" s="768"/>
      <c r="D76" s="890"/>
      <c r="E76" s="768"/>
      <c r="F76" s="768" t="s">
        <v>2191</v>
      </c>
      <c r="G76" s="768"/>
      <c r="H76" s="814"/>
      <c r="I76" s="926">
        <f t="shared" si="7"/>
        <v>0</v>
      </c>
      <c r="J76" s="926">
        <f t="shared" si="8"/>
        <v>0</v>
      </c>
      <c r="K76" s="926">
        <f t="shared" si="9"/>
        <v>0</v>
      </c>
      <c r="L76" s="769" t="str">
        <f t="shared" si="10"/>
        <v/>
      </c>
      <c r="M76" s="769" t="str">
        <f t="shared" si="11"/>
        <v/>
      </c>
      <c r="N76" s="769" t="str">
        <f t="shared" si="12"/>
        <v/>
      </c>
      <c r="O76" s="880"/>
      <c r="P76" s="880"/>
      <c r="Q76" s="880"/>
      <c r="R76" s="880" t="s">
        <v>126</v>
      </c>
      <c r="S76" s="880"/>
      <c r="T76" s="768"/>
      <c r="U76" s="768"/>
      <c r="V76" s="768"/>
      <c r="W76" s="768" t="s">
        <v>2212</v>
      </c>
      <c r="X76" s="768"/>
      <c r="Y76" s="922"/>
      <c r="Z76" s="771"/>
      <c r="AA76" s="774"/>
      <c r="AB76" s="771"/>
      <c r="AC76" s="771"/>
      <c r="AD76" s="771"/>
    </row>
    <row r="77" spans="1:30" ht="18" customHeight="1">
      <c r="A77" s="770"/>
      <c r="B77" s="822">
        <v>60</v>
      </c>
      <c r="C77" s="768"/>
      <c r="D77" s="890"/>
      <c r="E77" s="768"/>
      <c r="F77" s="768" t="s">
        <v>2193</v>
      </c>
      <c r="G77" s="768"/>
      <c r="H77" s="814"/>
      <c r="I77" s="926">
        <f t="shared" si="7"/>
        <v>0</v>
      </c>
      <c r="J77" s="926">
        <f t="shared" si="8"/>
        <v>0</v>
      </c>
      <c r="K77" s="926">
        <f t="shared" si="9"/>
        <v>0</v>
      </c>
      <c r="L77" s="769" t="str">
        <f t="shared" si="10"/>
        <v/>
      </c>
      <c r="M77" s="769" t="str">
        <f t="shared" si="11"/>
        <v/>
      </c>
      <c r="N77" s="769" t="str">
        <f t="shared" si="12"/>
        <v/>
      </c>
      <c r="O77" s="880"/>
      <c r="P77" s="880"/>
      <c r="Q77" s="880"/>
      <c r="R77" s="880" t="s">
        <v>107</v>
      </c>
      <c r="S77" s="880"/>
      <c r="T77" s="768"/>
      <c r="U77" s="768"/>
      <c r="V77" s="768"/>
      <c r="W77" s="768" t="s">
        <v>2213</v>
      </c>
      <c r="X77" s="768"/>
      <c r="Y77" s="922"/>
      <c r="Z77" s="771"/>
      <c r="AA77" s="774"/>
      <c r="AB77" s="771"/>
      <c r="AC77" s="771"/>
      <c r="AD77" s="771"/>
    </row>
    <row r="78" spans="1:30" ht="72" customHeight="1">
      <c r="A78" s="770"/>
      <c r="B78" s="822">
        <v>61</v>
      </c>
      <c r="C78" s="768" t="s">
        <v>2189</v>
      </c>
      <c r="D78" s="890"/>
      <c r="E78" s="768"/>
      <c r="F78" s="768"/>
      <c r="G78" s="768"/>
      <c r="H78" s="814"/>
      <c r="I78" s="926" t="str">
        <f t="shared" si="7"/>
        <v>7</v>
      </c>
      <c r="J78" s="926" t="str">
        <f t="shared" si="8"/>
        <v>Установленная тепловая мощность объектов основных фондов, используемых для теплоснабжения, в том числе по каждому источнику тепловой энергии</v>
      </c>
      <c r="K78" s="926" t="str">
        <f t="shared" si="9"/>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L78" s="769" t="str">
        <f t="shared" si="10"/>
        <v>7</v>
      </c>
      <c r="M78" s="769" t="str">
        <f t="shared" si="11"/>
        <v>Установленная тепловая мощность объектов основных фондов, используемых для теплоснабжения, в том числе по каждому источнику тепловой энергии</v>
      </c>
      <c r="N78" s="769" t="str">
        <f t="shared" si="12"/>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O78" s="880" t="s">
        <v>94</v>
      </c>
      <c r="P78" s="880"/>
      <c r="Q78" s="880"/>
      <c r="R78" s="880"/>
      <c r="S78" s="880"/>
      <c r="T78" s="768" t="s">
        <v>667</v>
      </c>
      <c r="U78" s="768"/>
      <c r="V78" s="768"/>
      <c r="W78" s="768"/>
      <c r="X78" s="768"/>
      <c r="Y78" s="922"/>
      <c r="Z78" s="771" t="s">
        <v>2214</v>
      </c>
      <c r="AA78" s="774"/>
      <c r="AB78" s="771"/>
      <c r="AC78" s="771"/>
      <c r="AD78" s="771"/>
    </row>
    <row r="79" spans="1:30" ht="36" customHeight="1">
      <c r="A79" s="770"/>
      <c r="B79" s="822">
        <v>62</v>
      </c>
      <c r="C79" s="768" t="s">
        <v>2191</v>
      </c>
      <c r="D79" s="890"/>
      <c r="E79" s="768"/>
      <c r="F79" s="768"/>
      <c r="G79" s="768"/>
      <c r="H79" s="814"/>
      <c r="I79" s="926" t="str">
        <f t="shared" si="7"/>
        <v>8</v>
      </c>
      <c r="J79" s="926" t="str">
        <f t="shared" si="8"/>
        <v>Тепловая нагрузка по договорам, заключенным в рамках осуществления регулируемых видов деятельности</v>
      </c>
      <c r="K79" s="926" t="str">
        <f t="shared" si="9"/>
        <v>Регулируемыми организациями указывается информация по договорам, заключенным в рамках осуществления регулируемых видов деятельности</v>
      </c>
      <c r="L79" s="769" t="str">
        <f t="shared" si="10"/>
        <v>8</v>
      </c>
      <c r="M79" s="769" t="str">
        <f t="shared" si="11"/>
        <v>Тепловая нагрузка по договорам, заключенным в рамках осуществления регулируемых видов деятельности</v>
      </c>
      <c r="N79" s="769" t="str">
        <f t="shared" si="12"/>
        <v>Регулируемыми организациями указывается информация по договорам, заключенным в рамках осуществления регулируемых видов деятельности</v>
      </c>
      <c r="O79" s="880" t="s">
        <v>126</v>
      </c>
      <c r="P79" s="880"/>
      <c r="Q79" s="880"/>
      <c r="R79" s="880"/>
      <c r="S79" s="880"/>
      <c r="T79" s="768" t="s">
        <v>2215</v>
      </c>
      <c r="U79" s="768"/>
      <c r="V79" s="768"/>
      <c r="W79" s="768"/>
      <c r="X79" s="768"/>
      <c r="Y79" s="922"/>
      <c r="Z79" s="771" t="s">
        <v>2216</v>
      </c>
      <c r="AA79" s="774"/>
      <c r="AB79" s="771"/>
      <c r="AC79" s="771"/>
      <c r="AD79" s="771"/>
    </row>
    <row r="80" spans="1:30" ht="45" customHeight="1">
      <c r="A80" s="770"/>
      <c r="B80" s="822">
        <v>63</v>
      </c>
      <c r="C80" s="768" t="s">
        <v>2193</v>
      </c>
      <c r="D80" s="890"/>
      <c r="E80" s="768"/>
      <c r="F80" s="768"/>
      <c r="G80" s="768"/>
      <c r="H80" s="814"/>
      <c r="I80" s="926" t="str">
        <f t="shared" si="7"/>
        <v>9</v>
      </c>
      <c r="J80" s="926" t="str">
        <f t="shared" si="8"/>
        <v>Объем вырабатываемой регулируемой организацией тепловой энергии в рамках осуществления регулируемых видов деятельности</v>
      </c>
      <c r="K80" s="926" t="str">
        <f t="shared" si="9"/>
        <v>Регулируемыми организациями указывается информация тепловой энергии, выработанной в рамках осуществления регулируемых видов деятельности.</v>
      </c>
      <c r="L80" s="769" t="str">
        <f t="shared" si="10"/>
        <v>9</v>
      </c>
      <c r="M80" s="769" t="str">
        <f t="shared" si="11"/>
        <v>Объем вырабатываемой регулируемой организацией тепловой энергии в рамках осуществления регулируемых видов деятельности</v>
      </c>
      <c r="N80" s="769" t="str">
        <f t="shared" si="12"/>
        <v>Регулируемыми организациями указывается информация тепловой энергии, выработанной в рамках осуществления регулируемых видов деятельности.</v>
      </c>
      <c r="O80" s="880" t="s">
        <v>107</v>
      </c>
      <c r="P80" s="880"/>
      <c r="Q80" s="880"/>
      <c r="R80" s="880"/>
      <c r="S80" s="880"/>
      <c r="T80" s="768" t="s">
        <v>2217</v>
      </c>
      <c r="U80" s="768"/>
      <c r="V80" s="768"/>
      <c r="W80" s="768"/>
      <c r="X80" s="768"/>
      <c r="Y80" s="922"/>
      <c r="Z80" s="771" t="s">
        <v>2218</v>
      </c>
      <c r="AA80" s="774"/>
      <c r="AB80" s="771"/>
      <c r="AC80" s="771"/>
      <c r="AD80" s="771"/>
    </row>
    <row r="81" spans="1:30" ht="36" customHeight="1">
      <c r="A81" s="770"/>
      <c r="B81" s="822">
        <v>64</v>
      </c>
      <c r="C81" s="768" t="s">
        <v>2195</v>
      </c>
      <c r="D81" s="890"/>
      <c r="E81" s="768"/>
      <c r="F81" s="768"/>
      <c r="G81" s="768"/>
      <c r="H81" s="814"/>
      <c r="I81" s="926" t="str">
        <f t="shared" si="7"/>
        <v>9.1</v>
      </c>
      <c r="J81" s="926" t="str">
        <f t="shared" si="8"/>
        <v>Объем приобретаемой регулируемой организацией тепловой энергии в рамках осуществления регулируемых видов деятельности</v>
      </c>
      <c r="K81" s="926" t="str">
        <f t="shared" si="9"/>
        <v>Информация указывается только едиными теплоснабжающими организациями.</v>
      </c>
      <c r="L81" s="769" t="str">
        <f t="shared" si="10"/>
        <v>9.1</v>
      </c>
      <c r="M81" s="769" t="str">
        <f t="shared" si="11"/>
        <v>Объем приобретаемой регулируемой организацией тепловой энергии в рамках осуществления регулируемых видов деятельности</v>
      </c>
      <c r="N81" s="769" t="str">
        <f t="shared" si="12"/>
        <v>Информация указывается только едиными теплоснабжающими организациями.</v>
      </c>
      <c r="O81" s="880" t="s">
        <v>2101</v>
      </c>
      <c r="P81" s="880"/>
      <c r="Q81" s="880"/>
      <c r="R81" s="880"/>
      <c r="S81" s="880"/>
      <c r="T81" s="768" t="s">
        <v>2219</v>
      </c>
      <c r="U81" s="768"/>
      <c r="V81" s="768"/>
      <c r="W81" s="768"/>
      <c r="X81" s="768"/>
      <c r="Y81" s="922"/>
      <c r="Z81" s="771" t="s">
        <v>2220</v>
      </c>
      <c r="AA81" s="774"/>
      <c r="AB81" s="771"/>
      <c r="AC81" s="771"/>
      <c r="AD81" s="771"/>
    </row>
    <row r="82" spans="1:30" ht="90" customHeight="1">
      <c r="A82" s="770"/>
      <c r="B82" s="822">
        <v>65</v>
      </c>
      <c r="C82" s="768" t="s">
        <v>2204</v>
      </c>
      <c r="D82" s="890"/>
      <c r="E82" s="768"/>
      <c r="F82" s="768"/>
      <c r="G82" s="768"/>
      <c r="H82" s="814"/>
      <c r="I82" s="926" t="str">
        <f t="shared" ref="I82:I101" si="13">INDEX(TEMPLATE_NUMBER_POINT_FHD,B82,MATCH(TEMPLATE_SPHERE,TEMPLATE_SPHERE_LIST_FOR_NOTE,0))</f>
        <v>10</v>
      </c>
      <c r="J82" s="926" t="str">
        <f t="shared" ref="J82:J101" si="14">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926" t="str">
        <f t="shared" ref="K82:K101" si="15">INDEX(TEMPLATE_NOTE_POINT_FHD,B82,MATCH(TEMPLATE_SPHERE,TEMPLATE_SPHERE_LIST_FOR_NOTE,0))</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769" t="str">
        <f t="shared" ref="L82:L101" si="16">IF(I82=0,"",I82)</f>
        <v>10</v>
      </c>
      <c r="M82" s="769" t="str">
        <f t="shared" ref="M82:M101" si="17">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769" t="str">
        <f t="shared" ref="N82:N101" si="18">IF(K82=0,"",K82)</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880" t="s">
        <v>162</v>
      </c>
      <c r="P82" s="880"/>
      <c r="Q82" s="880"/>
      <c r="R82" s="880"/>
      <c r="S82" s="880"/>
      <c r="T82" s="768" t="s">
        <v>2221</v>
      </c>
      <c r="U82" s="768"/>
      <c r="V82" s="768"/>
      <c r="W82" s="768"/>
      <c r="X82" s="768"/>
      <c r="Y82" s="922"/>
      <c r="Z82" s="771" t="s">
        <v>2222</v>
      </c>
      <c r="AA82" s="774"/>
      <c r="AB82" s="771"/>
      <c r="AC82" s="771"/>
      <c r="AD82" s="771"/>
    </row>
    <row r="83" spans="1:30" ht="9" customHeight="1">
      <c r="A83" s="770"/>
      <c r="B83" s="822">
        <v>66</v>
      </c>
      <c r="C83" s="768"/>
      <c r="D83" s="890"/>
      <c r="E83" s="768"/>
      <c r="F83" s="768"/>
      <c r="G83" s="768"/>
      <c r="H83" s="814"/>
      <c r="I83" s="926" t="str">
        <f t="shared" si="13"/>
        <v>10.1</v>
      </c>
      <c r="J83" s="926" t="str">
        <f t="shared" si="14"/>
        <v xml:space="preserve">По приборам учёта </v>
      </c>
      <c r="K83" s="926">
        <f t="shared" si="15"/>
        <v>0</v>
      </c>
      <c r="L83" s="769" t="str">
        <f t="shared" si="16"/>
        <v>10.1</v>
      </c>
      <c r="M83" s="769" t="str">
        <f t="shared" si="17"/>
        <v xml:space="preserve">По приборам учёта </v>
      </c>
      <c r="N83" s="769" t="str">
        <f t="shared" si="18"/>
        <v/>
      </c>
      <c r="O83" s="880" t="s">
        <v>2110</v>
      </c>
      <c r="P83" s="880"/>
      <c r="Q83" s="880"/>
      <c r="R83" s="880"/>
      <c r="S83" s="880"/>
      <c r="T83" s="768" t="s">
        <v>2223</v>
      </c>
      <c r="U83" s="768"/>
      <c r="V83" s="768"/>
      <c r="W83" s="768"/>
      <c r="X83" s="768"/>
      <c r="Y83" s="922"/>
      <c r="Z83" s="771"/>
      <c r="AA83" s="774"/>
      <c r="AB83" s="771"/>
      <c r="AC83" s="771"/>
      <c r="AD83" s="771"/>
    </row>
    <row r="84" spans="1:30" ht="54" customHeight="1">
      <c r="A84" s="770"/>
      <c r="B84" s="822">
        <v>67</v>
      </c>
      <c r="C84" s="768"/>
      <c r="D84" s="890"/>
      <c r="E84" s="768"/>
      <c r="F84" s="768"/>
      <c r="G84" s="768"/>
      <c r="H84" s="814"/>
      <c r="I84" s="926" t="str">
        <f t="shared" si="13"/>
        <v>10.1.1</v>
      </c>
      <c r="J84" s="926" t="str">
        <f t="shared" si="14"/>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926">
        <f t="shared" si="15"/>
        <v>0</v>
      </c>
      <c r="L84" s="769" t="str">
        <f t="shared" si="16"/>
        <v>10.1.1</v>
      </c>
      <c r="M84" s="769" t="str">
        <f t="shared" si="17"/>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769" t="str">
        <f t="shared" si="18"/>
        <v/>
      </c>
      <c r="O84" s="880" t="s">
        <v>2224</v>
      </c>
      <c r="P84" s="880"/>
      <c r="Q84" s="880"/>
      <c r="R84" s="880"/>
      <c r="S84" s="880"/>
      <c r="T84" s="768" t="s">
        <v>2225</v>
      </c>
      <c r="U84" s="768"/>
      <c r="V84" s="768"/>
      <c r="W84" s="768"/>
      <c r="X84" s="768"/>
      <c r="Y84" s="922"/>
      <c r="Z84" s="771"/>
      <c r="AA84" s="774"/>
      <c r="AB84" s="771"/>
      <c r="AC84" s="771"/>
      <c r="AD84" s="771"/>
    </row>
    <row r="85" spans="1:30" ht="9" customHeight="1">
      <c r="A85" s="770"/>
      <c r="B85" s="822">
        <v>68</v>
      </c>
      <c r="C85" s="768"/>
      <c r="D85" s="890"/>
      <c r="E85" s="768"/>
      <c r="F85" s="768"/>
      <c r="G85" s="768"/>
      <c r="H85" s="814"/>
      <c r="I85" s="926" t="str">
        <f t="shared" si="13"/>
        <v>10.2</v>
      </c>
      <c r="J85" s="926" t="str">
        <f t="shared" si="14"/>
        <v>Расчётным путём</v>
      </c>
      <c r="K85" s="926">
        <f t="shared" si="15"/>
        <v>0</v>
      </c>
      <c r="L85" s="769" t="str">
        <f t="shared" si="16"/>
        <v>10.2</v>
      </c>
      <c r="M85" s="769" t="str">
        <f t="shared" si="17"/>
        <v>Расчётным путём</v>
      </c>
      <c r="N85" s="769" t="str">
        <f t="shared" si="18"/>
        <v/>
      </c>
      <c r="O85" s="880" t="s">
        <v>2114</v>
      </c>
      <c r="P85" s="880"/>
      <c r="Q85" s="880"/>
      <c r="R85" s="880"/>
      <c r="S85" s="880"/>
      <c r="T85" s="768" t="s">
        <v>2226</v>
      </c>
      <c r="U85" s="768"/>
      <c r="V85" s="768"/>
      <c r="W85" s="768"/>
      <c r="X85" s="768"/>
      <c r="Y85" s="922"/>
      <c r="Z85" s="771"/>
      <c r="AA85" s="774"/>
      <c r="AB85" s="771"/>
      <c r="AC85" s="771"/>
      <c r="AD85" s="771"/>
    </row>
    <row r="86" spans="1:30" ht="27" customHeight="1">
      <c r="A86" s="770"/>
      <c r="B86" s="822">
        <v>69</v>
      </c>
      <c r="C86" s="768"/>
      <c r="D86" s="890"/>
      <c r="E86" s="768"/>
      <c r="F86" s="768"/>
      <c r="G86" s="768"/>
      <c r="H86" s="814"/>
      <c r="I86" s="926" t="str">
        <f t="shared" si="13"/>
        <v>10.3</v>
      </c>
      <c r="J86" s="926" t="str">
        <f t="shared" si="14"/>
        <v>По нормативам потребления коммунальных услуг и нормативам потребления коммунальных ресурсов</v>
      </c>
      <c r="K86" s="926">
        <f t="shared" si="15"/>
        <v>0</v>
      </c>
      <c r="L86" s="769" t="str">
        <f t="shared" si="16"/>
        <v>10.3</v>
      </c>
      <c r="M86" s="769" t="str">
        <f t="shared" si="17"/>
        <v>По нормативам потребления коммунальных услуг и нормативам потребления коммунальных ресурсов</v>
      </c>
      <c r="N86" s="769" t="str">
        <f t="shared" si="18"/>
        <v/>
      </c>
      <c r="O86" s="880" t="s">
        <v>2227</v>
      </c>
      <c r="P86" s="880"/>
      <c r="Q86" s="880"/>
      <c r="R86" s="880"/>
      <c r="S86" s="880"/>
      <c r="T86" s="768" t="s">
        <v>2228</v>
      </c>
      <c r="U86" s="768"/>
      <c r="V86" s="768"/>
      <c r="W86" s="768"/>
      <c r="X86" s="768"/>
      <c r="Y86" s="922"/>
      <c r="Z86" s="771"/>
      <c r="AA86" s="774"/>
      <c r="AB86" s="771"/>
      <c r="AC86" s="771"/>
      <c r="AD86" s="771"/>
    </row>
    <row r="87" spans="1:30" ht="36" customHeight="1">
      <c r="A87" s="770"/>
      <c r="B87" s="822">
        <v>70</v>
      </c>
      <c r="C87" s="768" t="s">
        <v>2229</v>
      </c>
      <c r="D87" s="890"/>
      <c r="E87" s="768"/>
      <c r="F87" s="768"/>
      <c r="G87" s="768"/>
      <c r="H87" s="814"/>
      <c r="I87" s="926" t="str">
        <f t="shared" si="13"/>
        <v>11</v>
      </c>
      <c r="J87" s="926" t="str">
        <f t="shared" si="14"/>
        <v>Нормативы технологических потерь при передаче тепловой энергии, теплоносителя по тепловым сетям, утвержденные уполномоченным органом</v>
      </c>
      <c r="K87" s="926">
        <f t="shared" si="15"/>
        <v>0</v>
      </c>
      <c r="L87" s="769" t="str">
        <f t="shared" si="16"/>
        <v>11</v>
      </c>
      <c r="M87" s="769" t="str">
        <f t="shared" si="17"/>
        <v>Нормативы технологических потерь при передаче тепловой энергии, теплоносителя по тепловым сетям, утвержденные уполномоченным органом</v>
      </c>
      <c r="N87" s="769" t="str">
        <f t="shared" si="18"/>
        <v/>
      </c>
      <c r="O87" s="880" t="s">
        <v>163</v>
      </c>
      <c r="P87" s="880"/>
      <c r="Q87" s="880"/>
      <c r="R87" s="880"/>
      <c r="S87" s="880"/>
      <c r="T87" s="768" t="s">
        <v>2230</v>
      </c>
      <c r="U87" s="768"/>
      <c r="V87" s="768"/>
      <c r="W87" s="768"/>
      <c r="X87" s="768"/>
      <c r="Y87" s="922"/>
      <c r="Z87" s="771"/>
      <c r="AA87" s="774"/>
      <c r="AB87" s="771"/>
      <c r="AC87" s="771"/>
      <c r="AD87" s="771"/>
    </row>
    <row r="88" spans="1:30" ht="18" customHeight="1">
      <c r="A88" s="770"/>
      <c r="B88" s="822">
        <v>71</v>
      </c>
      <c r="C88" s="768" t="s">
        <v>2231</v>
      </c>
      <c r="D88" s="890"/>
      <c r="E88" s="768"/>
      <c r="F88" s="768"/>
      <c r="G88" s="768"/>
      <c r="H88" s="814"/>
      <c r="I88" s="926" t="str">
        <f t="shared" si="13"/>
        <v>12</v>
      </c>
      <c r="J88" s="926" t="str">
        <f t="shared" si="14"/>
        <v>Фактический объем потерь при передаче тепловой энергии</v>
      </c>
      <c r="K88" s="926">
        <f t="shared" si="15"/>
        <v>0</v>
      </c>
      <c r="L88" s="769" t="str">
        <f t="shared" si="16"/>
        <v>12</v>
      </c>
      <c r="M88" s="769" t="str">
        <f t="shared" si="17"/>
        <v>Фактический объем потерь при передаче тепловой энергии</v>
      </c>
      <c r="N88" s="769" t="str">
        <f t="shared" si="18"/>
        <v/>
      </c>
      <c r="O88" s="880" t="s">
        <v>164</v>
      </c>
      <c r="P88" s="880"/>
      <c r="Q88" s="880"/>
      <c r="R88" s="880"/>
      <c r="S88" s="880"/>
      <c r="T88" s="768" t="s">
        <v>699</v>
      </c>
      <c r="U88" s="768"/>
      <c r="V88" s="768"/>
      <c r="W88" s="768"/>
      <c r="X88" s="768"/>
      <c r="Y88" s="922"/>
      <c r="Z88" s="771"/>
      <c r="AA88" s="774"/>
      <c r="AB88" s="771"/>
      <c r="AC88" s="771"/>
      <c r="AD88" s="771"/>
    </row>
    <row r="89" spans="1:30" ht="18" customHeight="1">
      <c r="A89" s="770"/>
      <c r="B89" s="822">
        <v>72</v>
      </c>
      <c r="C89" s="768" t="s">
        <v>2232</v>
      </c>
      <c r="D89" s="890" t="s">
        <v>2229</v>
      </c>
      <c r="E89" s="768" t="s">
        <v>2229</v>
      </c>
      <c r="F89" s="768" t="s">
        <v>2195</v>
      </c>
      <c r="G89" s="768"/>
      <c r="H89" s="814"/>
      <c r="I89" s="926" t="str">
        <f t="shared" si="13"/>
        <v>13</v>
      </c>
      <c r="J89" s="926" t="str">
        <f t="shared" si="14"/>
        <v>Среднесписочная численность основного производственного персонала</v>
      </c>
      <c r="K89" s="926">
        <f t="shared" si="15"/>
        <v>0</v>
      </c>
      <c r="L89" s="769" t="str">
        <f t="shared" si="16"/>
        <v>13</v>
      </c>
      <c r="M89" s="769" t="str">
        <f t="shared" si="17"/>
        <v>Среднесписочная численность основного производственного персонала</v>
      </c>
      <c r="N89" s="769" t="str">
        <f t="shared" si="18"/>
        <v/>
      </c>
      <c r="O89" s="880" t="s">
        <v>165</v>
      </c>
      <c r="P89" s="880" t="s">
        <v>164</v>
      </c>
      <c r="Q89" s="880" t="s">
        <v>164</v>
      </c>
      <c r="R89" s="880" t="s">
        <v>162</v>
      </c>
      <c r="S89" s="880"/>
      <c r="T89" s="768" t="s">
        <v>707</v>
      </c>
      <c r="U89" s="768" t="s">
        <v>707</v>
      </c>
      <c r="V89" s="768" t="s">
        <v>707</v>
      </c>
      <c r="W89" s="768" t="s">
        <v>707</v>
      </c>
      <c r="X89" s="768"/>
      <c r="Y89" s="922"/>
      <c r="Z89" s="771"/>
      <c r="AA89" s="774"/>
      <c r="AB89" s="771"/>
      <c r="AC89" s="771"/>
      <c r="AD89" s="771"/>
    </row>
    <row r="90" spans="1:30" ht="27" customHeight="1">
      <c r="A90" s="770"/>
      <c r="B90" s="822">
        <v>73</v>
      </c>
      <c r="C90" s="768" t="s">
        <v>2233</v>
      </c>
      <c r="D90" s="890"/>
      <c r="E90" s="768"/>
      <c r="F90" s="768"/>
      <c r="G90" s="768"/>
      <c r="H90" s="814"/>
      <c r="I90" s="926" t="str">
        <f t="shared" si="13"/>
        <v>14</v>
      </c>
      <c r="J90" s="926" t="str">
        <f t="shared" si="14"/>
        <v>Среднесписочная численность административно-управленческого персонала</v>
      </c>
      <c r="K90" s="926">
        <f t="shared" si="15"/>
        <v>0</v>
      </c>
      <c r="L90" s="769" t="str">
        <f t="shared" si="16"/>
        <v>14</v>
      </c>
      <c r="M90" s="769" t="str">
        <f t="shared" si="17"/>
        <v>Среднесписочная численность административно-управленческого персонала</v>
      </c>
      <c r="N90" s="769" t="str">
        <f t="shared" si="18"/>
        <v/>
      </c>
      <c r="O90" s="880" t="s">
        <v>166</v>
      </c>
      <c r="P90" s="880"/>
      <c r="Q90" s="880"/>
      <c r="R90" s="880"/>
      <c r="S90" s="880"/>
      <c r="T90" s="768" t="s">
        <v>709</v>
      </c>
      <c r="U90" s="768"/>
      <c r="V90" s="768"/>
      <c r="W90" s="768"/>
      <c r="X90" s="768"/>
      <c r="Y90" s="922"/>
      <c r="Z90" s="771"/>
      <c r="AA90" s="774"/>
      <c r="AB90" s="771"/>
      <c r="AC90" s="771"/>
      <c r="AD90" s="771"/>
    </row>
    <row r="91" spans="1:30" ht="18" customHeight="1">
      <c r="A91" s="770"/>
      <c r="B91" s="822">
        <v>74</v>
      </c>
      <c r="C91" s="768"/>
      <c r="D91" s="890" t="s">
        <v>2231</v>
      </c>
      <c r="E91" s="768" t="s">
        <v>2231</v>
      </c>
      <c r="F91" s="768"/>
      <c r="G91" s="768"/>
      <c r="H91" s="814"/>
      <c r="I91" s="926">
        <f t="shared" si="13"/>
        <v>0</v>
      </c>
      <c r="J91" s="926">
        <f t="shared" si="14"/>
        <v>0</v>
      </c>
      <c r="K91" s="926">
        <f t="shared" si="15"/>
        <v>0</v>
      </c>
      <c r="L91" s="769" t="str">
        <f t="shared" si="16"/>
        <v/>
      </c>
      <c r="M91" s="769" t="str">
        <f t="shared" si="17"/>
        <v/>
      </c>
      <c r="N91" s="769" t="str">
        <f t="shared" si="18"/>
        <v/>
      </c>
      <c r="O91" s="880"/>
      <c r="P91" s="880" t="s">
        <v>165</v>
      </c>
      <c r="Q91" s="880" t="s">
        <v>165</v>
      </c>
      <c r="R91" s="880"/>
      <c r="S91" s="880"/>
      <c r="T91" s="768"/>
      <c r="U91" s="768" t="s">
        <v>2234</v>
      </c>
      <c r="V91" s="768" t="s">
        <v>2234</v>
      </c>
      <c r="W91" s="768"/>
      <c r="X91" s="768"/>
      <c r="Y91" s="922"/>
      <c r="Z91" s="771"/>
      <c r="AA91" s="774"/>
      <c r="AB91" s="771"/>
      <c r="AC91" s="771"/>
      <c r="AD91" s="771"/>
    </row>
    <row r="92" spans="1:30" ht="27" customHeight="1">
      <c r="A92" s="770"/>
      <c r="B92" s="822">
        <v>75</v>
      </c>
      <c r="C92" s="768"/>
      <c r="D92" s="890" t="s">
        <v>2232</v>
      </c>
      <c r="E92" s="768"/>
      <c r="F92" s="768"/>
      <c r="G92" s="768"/>
      <c r="H92" s="814"/>
      <c r="I92" s="926">
        <f t="shared" si="13"/>
        <v>0</v>
      </c>
      <c r="J92" s="926">
        <f t="shared" si="14"/>
        <v>0</v>
      </c>
      <c r="K92" s="926">
        <f t="shared" si="15"/>
        <v>0</v>
      </c>
      <c r="L92" s="769" t="str">
        <f t="shared" si="16"/>
        <v/>
      </c>
      <c r="M92" s="769" t="str">
        <f t="shared" si="17"/>
        <v/>
      </c>
      <c r="N92" s="769" t="str">
        <f t="shared" si="18"/>
        <v/>
      </c>
      <c r="O92" s="880"/>
      <c r="P92" s="880" t="s">
        <v>166</v>
      </c>
      <c r="Q92" s="880"/>
      <c r="R92" s="880"/>
      <c r="S92" s="880"/>
      <c r="T92" s="768"/>
      <c r="U92" s="768" t="s">
        <v>2235</v>
      </c>
      <c r="V92" s="768"/>
      <c r="W92" s="768"/>
      <c r="X92" s="768"/>
      <c r="Y92" s="922"/>
      <c r="Z92" s="771"/>
      <c r="AA92" s="774" t="s">
        <v>2236</v>
      </c>
      <c r="AB92" s="771"/>
      <c r="AC92" s="771"/>
      <c r="AD92" s="771"/>
    </row>
    <row r="93" spans="1:30" ht="27" customHeight="1">
      <c r="A93" s="770"/>
      <c r="B93" s="822">
        <v>76</v>
      </c>
      <c r="C93" s="768"/>
      <c r="D93" s="890"/>
      <c r="E93" s="768"/>
      <c r="F93" s="768"/>
      <c r="G93" s="768"/>
      <c r="H93" s="814"/>
      <c r="I93" s="926">
        <f t="shared" si="13"/>
        <v>0</v>
      </c>
      <c r="J93" s="926">
        <f t="shared" si="14"/>
        <v>0</v>
      </c>
      <c r="K93" s="926">
        <f t="shared" si="15"/>
        <v>0</v>
      </c>
      <c r="L93" s="769" t="str">
        <f t="shared" si="16"/>
        <v/>
      </c>
      <c r="M93" s="769" t="str">
        <f t="shared" si="17"/>
        <v/>
      </c>
      <c r="N93" s="769" t="str">
        <f t="shared" si="18"/>
        <v/>
      </c>
      <c r="O93" s="880"/>
      <c r="P93" s="880" t="s">
        <v>2142</v>
      </c>
      <c r="Q93" s="880"/>
      <c r="R93" s="880"/>
      <c r="S93" s="880"/>
      <c r="T93" s="768"/>
      <c r="U93" s="768" t="s">
        <v>2237</v>
      </c>
      <c r="V93" s="768"/>
      <c r="W93" s="768"/>
      <c r="X93" s="768"/>
      <c r="Y93" s="922"/>
      <c r="Z93" s="771"/>
      <c r="AA93" s="774" t="s">
        <v>2238</v>
      </c>
      <c r="AB93" s="771"/>
      <c r="AC93" s="771"/>
      <c r="AD93" s="771"/>
    </row>
    <row r="94" spans="1:30" ht="45" customHeight="1">
      <c r="A94" s="770"/>
      <c r="B94" s="822">
        <v>77</v>
      </c>
      <c r="C94" s="768"/>
      <c r="D94" s="890" t="s">
        <v>2233</v>
      </c>
      <c r="E94" s="768"/>
      <c r="F94" s="768"/>
      <c r="G94" s="768"/>
      <c r="H94" s="814"/>
      <c r="I94" s="926">
        <f t="shared" si="13"/>
        <v>0</v>
      </c>
      <c r="J94" s="926">
        <f t="shared" si="14"/>
        <v>0</v>
      </c>
      <c r="K94" s="926">
        <f t="shared" si="15"/>
        <v>0</v>
      </c>
      <c r="L94" s="769" t="str">
        <f t="shared" si="16"/>
        <v/>
      </c>
      <c r="M94" s="769" t="str">
        <f t="shared" si="17"/>
        <v/>
      </c>
      <c r="N94" s="769" t="str">
        <f t="shared" si="18"/>
        <v/>
      </c>
      <c r="O94" s="880"/>
      <c r="P94" s="880" t="s">
        <v>112</v>
      </c>
      <c r="Q94" s="880"/>
      <c r="R94" s="880"/>
      <c r="S94" s="880"/>
      <c r="T94" s="768"/>
      <c r="U94" s="768" t="s">
        <v>2239</v>
      </c>
      <c r="V94" s="768"/>
      <c r="W94" s="768"/>
      <c r="X94" s="768"/>
      <c r="Y94" s="922"/>
      <c r="Z94" s="771"/>
      <c r="AA94" s="774" t="s">
        <v>2240</v>
      </c>
      <c r="AB94" s="771"/>
      <c r="AC94" s="771"/>
      <c r="AD94" s="771"/>
    </row>
    <row r="95" spans="1:30" ht="99" customHeight="1">
      <c r="A95" s="770"/>
      <c r="B95" s="822">
        <v>78</v>
      </c>
      <c r="C95" s="768" t="s">
        <v>2241</v>
      </c>
      <c r="D95" s="890"/>
      <c r="E95" s="768"/>
      <c r="F95" s="768"/>
      <c r="G95" s="768"/>
      <c r="H95" s="814"/>
      <c r="I95" s="926" t="str">
        <f t="shared" si="13"/>
        <v>15</v>
      </c>
      <c r="J95" s="926" t="str">
        <f t="shared" si="14"/>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926">
        <f t="shared" si="15"/>
        <v>0</v>
      </c>
      <c r="L95" s="769" t="str">
        <f t="shared" si="16"/>
        <v>15</v>
      </c>
      <c r="M95" s="769" t="str">
        <f t="shared" si="17"/>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769" t="str">
        <f t="shared" si="18"/>
        <v/>
      </c>
      <c r="O95" s="880" t="s">
        <v>112</v>
      </c>
      <c r="P95" s="880"/>
      <c r="Q95" s="880"/>
      <c r="R95" s="880"/>
      <c r="S95" s="880"/>
      <c r="T95" s="768" t="s">
        <v>2242</v>
      </c>
      <c r="U95" s="768"/>
      <c r="V95" s="768"/>
      <c r="W95" s="768"/>
      <c r="X95" s="768"/>
      <c r="Y95" s="922"/>
      <c r="Z95" s="771"/>
      <c r="AA95" s="774"/>
      <c r="AB95" s="771"/>
      <c r="AC95" s="771"/>
      <c r="AD95" s="771"/>
    </row>
    <row r="96" spans="1:30" ht="99" customHeight="1">
      <c r="A96" s="770"/>
      <c r="B96" s="822">
        <v>79</v>
      </c>
      <c r="C96" s="768" t="s">
        <v>1180</v>
      </c>
      <c r="D96" s="890"/>
      <c r="E96" s="768"/>
      <c r="F96" s="768"/>
      <c r="G96" s="768"/>
      <c r="H96" s="814"/>
      <c r="I96" s="926" t="str">
        <f t="shared" si="13"/>
        <v>16</v>
      </c>
      <c r="J96" s="926" t="str">
        <f t="shared" si="14"/>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926" t="str">
        <f t="shared" si="15"/>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769" t="str">
        <f t="shared" si="16"/>
        <v>16</v>
      </c>
      <c r="M96" s="769" t="str">
        <f t="shared" si="17"/>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769" t="str">
        <f t="shared" si="18"/>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880" t="s">
        <v>1501</v>
      </c>
      <c r="P96" s="880"/>
      <c r="Q96" s="880"/>
      <c r="R96" s="880"/>
      <c r="S96" s="880"/>
      <c r="T96" s="768" t="s">
        <v>2243</v>
      </c>
      <c r="U96" s="768"/>
      <c r="V96" s="768"/>
      <c r="W96" s="768"/>
      <c r="X96" s="768"/>
      <c r="Y96" s="922"/>
      <c r="Z96" s="771" t="s">
        <v>2244</v>
      </c>
      <c r="AA96" s="774"/>
      <c r="AB96" s="771"/>
      <c r="AC96" s="771"/>
      <c r="AD96" s="771"/>
    </row>
    <row r="97" spans="1:30" ht="63" customHeight="1">
      <c r="A97" s="770"/>
      <c r="B97" s="822">
        <v>80</v>
      </c>
      <c r="C97" s="768" t="s">
        <v>2245</v>
      </c>
      <c r="D97" s="890"/>
      <c r="E97" s="768"/>
      <c r="F97" s="768"/>
      <c r="G97" s="768"/>
      <c r="H97" s="814"/>
      <c r="I97" s="926" t="str">
        <f t="shared" si="13"/>
        <v>17</v>
      </c>
      <c r="J97" s="926" t="str">
        <f t="shared" si="14"/>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926" t="str">
        <f t="shared" si="15"/>
        <v>Регулируемыми организациями указывается информация с по договорам, заключенным в рамках осуществления регулируемой деятельности.</v>
      </c>
      <c r="L97" s="769" t="str">
        <f t="shared" si="16"/>
        <v>17</v>
      </c>
      <c r="M97" s="769" t="str">
        <f t="shared" si="17"/>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769" t="str">
        <f t="shared" si="18"/>
        <v>Регулируемыми организациями указывается информация с по договорам, заключенным в рамках осуществления регулируемой деятельности.</v>
      </c>
      <c r="O97" s="880" t="s">
        <v>1513</v>
      </c>
      <c r="P97" s="880"/>
      <c r="Q97" s="880"/>
      <c r="R97" s="880"/>
      <c r="S97" s="880"/>
      <c r="T97" s="768" t="s">
        <v>2246</v>
      </c>
      <c r="U97" s="768"/>
      <c r="V97" s="768"/>
      <c r="W97" s="768"/>
      <c r="X97" s="768"/>
      <c r="Y97" s="922"/>
      <c r="Z97" s="771" t="s">
        <v>2247</v>
      </c>
      <c r="AA97" s="774"/>
      <c r="AB97" s="771"/>
      <c r="AC97" s="771"/>
      <c r="AD97" s="771"/>
    </row>
    <row r="98" spans="1:30" ht="63" customHeight="1">
      <c r="A98" s="770"/>
      <c r="B98" s="822">
        <v>81</v>
      </c>
      <c r="C98" s="768" t="s">
        <v>2248</v>
      </c>
      <c r="D98" s="890"/>
      <c r="E98" s="768"/>
      <c r="F98" s="768"/>
      <c r="G98" s="768"/>
      <c r="H98" s="814"/>
      <c r="I98" s="926" t="str">
        <f t="shared" si="13"/>
        <v>18</v>
      </c>
      <c r="J98" s="926" t="str">
        <f t="shared" si="14"/>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926" t="str">
        <f t="shared" si="15"/>
        <v>Регулируемыми организациями указывается информация с по договорам, заключенным в рамках осуществления регулируемой деятельности.</v>
      </c>
      <c r="L98" s="769" t="str">
        <f t="shared" si="16"/>
        <v>18</v>
      </c>
      <c r="M98" s="769" t="str">
        <f t="shared" si="17"/>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769" t="str">
        <f t="shared" si="18"/>
        <v>Регулируемыми организациями указывается информация с по договорам, заключенным в рамках осуществления регулируемой деятельности.</v>
      </c>
      <c r="O98" s="880" t="s">
        <v>1527</v>
      </c>
      <c r="P98" s="880"/>
      <c r="Q98" s="880"/>
      <c r="R98" s="880"/>
      <c r="S98" s="880"/>
      <c r="T98" s="768" t="s">
        <v>2249</v>
      </c>
      <c r="U98" s="768"/>
      <c r="V98" s="768"/>
      <c r="W98" s="768"/>
      <c r="X98" s="768"/>
      <c r="Y98" s="922"/>
      <c r="Z98" s="771" t="s">
        <v>2247</v>
      </c>
      <c r="AA98" s="774"/>
      <c r="AB98" s="771"/>
      <c r="AC98" s="771"/>
      <c r="AD98" s="771"/>
    </row>
    <row r="99" spans="1:30" ht="90" customHeight="1">
      <c r="A99" s="770"/>
      <c r="B99" s="822">
        <v>82</v>
      </c>
      <c r="C99" s="768" t="s">
        <v>2250</v>
      </c>
      <c r="D99" s="890"/>
      <c r="E99" s="768"/>
      <c r="F99" s="768"/>
      <c r="G99" s="768"/>
      <c r="H99" s="814"/>
      <c r="I99" s="926" t="str">
        <f t="shared" si="13"/>
        <v>19</v>
      </c>
      <c r="J99" s="926" t="str">
        <f t="shared" si="14"/>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926" t="str">
        <f t="shared" si="15"/>
        <v>Указывается ссылка на документ, предварительно загруженный в хранилище файлов ФГИС ЕИАС.</v>
      </c>
      <c r="L99" s="769" t="str">
        <f t="shared" si="16"/>
        <v>19</v>
      </c>
      <c r="M99" s="769" t="str">
        <f t="shared" si="17"/>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769" t="str">
        <f t="shared" si="18"/>
        <v>Указывается ссылка на документ, предварительно загруженный в хранилище файлов ФГИС ЕИАС.</v>
      </c>
      <c r="O99" s="880" t="s">
        <v>1539</v>
      </c>
      <c r="P99" s="880"/>
      <c r="Q99" s="880"/>
      <c r="R99" s="880"/>
      <c r="S99" s="880"/>
      <c r="T99" s="768" t="s">
        <v>2251</v>
      </c>
      <c r="U99" s="768"/>
      <c r="V99" s="768"/>
      <c r="W99" s="768"/>
      <c r="X99" s="768"/>
      <c r="Y99" s="922"/>
      <c r="Z99" s="771" t="s">
        <v>664</v>
      </c>
      <c r="AA99" s="774"/>
      <c r="AB99" s="771"/>
      <c r="AC99" s="771"/>
      <c r="AD99" s="771"/>
    </row>
    <row r="100" spans="1:30" ht="27" customHeight="1">
      <c r="A100" s="770"/>
      <c r="B100" s="822">
        <v>83</v>
      </c>
      <c r="C100" s="768"/>
      <c r="D100" s="890"/>
      <c r="E100" s="768"/>
      <c r="F100" s="768"/>
      <c r="G100" s="768"/>
      <c r="H100" s="814"/>
      <c r="I100" s="926" t="str">
        <f t="shared" si="13"/>
        <v>19.1</v>
      </c>
      <c r="J100" s="926" t="str">
        <f t="shared" si="14"/>
        <v>Информация о показателях физического износа объектов теплоснабжения</v>
      </c>
      <c r="K100" s="926" t="str">
        <f t="shared" si="15"/>
        <v>Указывается ссылка на документ, предварительно загруженный в хранилище файлов ФГИС ЕИАС.</v>
      </c>
      <c r="L100" s="769" t="str">
        <f t="shared" si="16"/>
        <v>19.1</v>
      </c>
      <c r="M100" s="769" t="str">
        <f t="shared" si="17"/>
        <v>Информация о показателях физического износа объектов теплоснабжения</v>
      </c>
      <c r="N100" s="769" t="str">
        <f t="shared" si="18"/>
        <v>Указывается ссылка на документ, предварительно загруженный в хранилище файлов ФГИС ЕИАС.</v>
      </c>
      <c r="O100" s="880" t="s">
        <v>2252</v>
      </c>
      <c r="P100" s="880"/>
      <c r="Q100" s="880"/>
      <c r="R100" s="880"/>
      <c r="S100" s="880"/>
      <c r="T100" s="768" t="s">
        <v>2253</v>
      </c>
      <c r="U100" s="768"/>
      <c r="V100" s="768"/>
      <c r="W100" s="768"/>
      <c r="X100" s="768"/>
      <c r="Y100" s="922"/>
      <c r="Z100" s="771" t="s">
        <v>664</v>
      </c>
      <c r="AA100" s="774"/>
      <c r="AB100" s="771"/>
      <c r="AC100" s="771"/>
      <c r="AD100" s="771"/>
    </row>
    <row r="101" spans="1:30" ht="27" customHeight="1">
      <c r="A101" s="770"/>
      <c r="B101" s="822">
        <v>84</v>
      </c>
      <c r="C101" s="768"/>
      <c r="D101" s="890"/>
      <c r="E101" s="768"/>
      <c r="F101" s="768"/>
      <c r="G101" s="768"/>
      <c r="H101" s="814"/>
      <c r="I101" s="926" t="str">
        <f t="shared" si="13"/>
        <v>19.2</v>
      </c>
      <c r="J101" s="926" t="str">
        <f t="shared" si="14"/>
        <v>Информация о показателях энергетической эффективности объектов теплоснабжения</v>
      </c>
      <c r="K101" s="926" t="str">
        <f t="shared" si="15"/>
        <v>Указывается ссылка на документ, предварительно загруженный в хранилище файлов ФГИС ЕИАС.</v>
      </c>
      <c r="L101" s="769" t="str">
        <f t="shared" si="16"/>
        <v>19.2</v>
      </c>
      <c r="M101" s="769" t="str">
        <f t="shared" si="17"/>
        <v>Информация о показателях энергетической эффективности объектов теплоснабжения</v>
      </c>
      <c r="N101" s="769" t="str">
        <f t="shared" si="18"/>
        <v>Указывается ссылка на документ, предварительно загруженный в хранилище файлов ФГИС ЕИАС.</v>
      </c>
      <c r="O101" s="880" t="s">
        <v>2254</v>
      </c>
      <c r="P101" s="880"/>
      <c r="Q101" s="880"/>
      <c r="R101" s="880"/>
      <c r="S101" s="880"/>
      <c r="T101" s="768" t="s">
        <v>2255</v>
      </c>
      <c r="U101" s="768"/>
      <c r="V101" s="768"/>
      <c r="W101" s="768"/>
      <c r="X101" s="768"/>
      <c r="Y101" s="922"/>
      <c r="Z101" s="771" t="s">
        <v>664</v>
      </c>
      <c r="AA101" s="774"/>
      <c r="AB101" s="771"/>
      <c r="AC101" s="771"/>
      <c r="AD101" s="771"/>
    </row>
    <row r="102" spans="1:30" ht="9" customHeight="1">
      <c r="A102" s="770"/>
      <c r="B102" s="770"/>
      <c r="C102" s="768"/>
      <c r="D102" s="768"/>
      <c r="E102" s="768"/>
      <c r="F102" s="768"/>
      <c r="G102" s="768"/>
      <c r="H102" s="814"/>
      <c r="I102" s="814"/>
      <c r="J102" s="814"/>
      <c r="K102" s="814"/>
      <c r="L102" s="814"/>
      <c r="M102" s="768"/>
      <c r="N102" s="813"/>
      <c r="O102" s="880"/>
      <c r="P102" s="880"/>
      <c r="Q102" s="880"/>
      <c r="R102" s="880"/>
      <c r="S102" s="768"/>
      <c r="T102" s="768"/>
      <c r="U102" s="768"/>
      <c r="V102" s="768"/>
      <c r="W102" s="768"/>
      <c r="X102" s="768"/>
      <c r="Y102" s="922"/>
      <c r="Z102" s="771"/>
      <c r="AA102" s="774"/>
      <c r="AB102" s="771"/>
      <c r="AC102" s="771"/>
      <c r="AD102" s="771"/>
    </row>
    <row r="103" spans="1:30" ht="9" customHeight="1">
      <c r="A103" s="770"/>
      <c r="B103" s="770"/>
      <c r="C103" s="768"/>
      <c r="D103" s="768"/>
      <c r="E103" s="768"/>
      <c r="F103" s="768"/>
      <c r="G103" s="768"/>
      <c r="H103" s="814"/>
      <c r="I103" s="814"/>
      <c r="J103" s="814"/>
      <c r="K103" s="814"/>
      <c r="L103" s="814"/>
      <c r="M103" s="768"/>
      <c r="N103" s="813"/>
      <c r="O103" s="880"/>
      <c r="P103" s="880"/>
      <c r="Q103" s="880"/>
      <c r="R103" s="880"/>
      <c r="S103" s="768"/>
      <c r="T103" s="768"/>
      <c r="U103" s="768"/>
      <c r="V103" s="768"/>
      <c r="W103" s="768"/>
      <c r="X103" s="768"/>
      <c r="Y103" s="922"/>
      <c r="Z103" s="771"/>
      <c r="AA103" s="774"/>
      <c r="AB103" s="771"/>
      <c r="AC103" s="771"/>
      <c r="AD103" s="771"/>
    </row>
    <row r="104" spans="1:30" ht="9" customHeight="1">
      <c r="A104" s="770"/>
      <c r="B104" s="770"/>
      <c r="C104" s="768"/>
      <c r="D104" s="768"/>
      <c r="E104" s="768"/>
      <c r="F104" s="768"/>
      <c r="G104" s="768"/>
      <c r="H104" s="814"/>
      <c r="I104" s="814"/>
      <c r="J104" s="814"/>
      <c r="K104" s="814"/>
      <c r="L104" s="814"/>
      <c r="M104" s="768"/>
      <c r="N104" s="813"/>
      <c r="O104" s="880"/>
      <c r="P104" s="880"/>
      <c r="Q104" s="880"/>
      <c r="R104" s="880"/>
      <c r="S104" s="768"/>
      <c r="T104" s="768"/>
      <c r="U104" s="768"/>
      <c r="V104" s="768"/>
      <c r="W104" s="768"/>
      <c r="X104" s="768"/>
      <c r="Y104" s="922"/>
      <c r="Z104" s="771"/>
      <c r="AA104" s="774"/>
      <c r="AB104" s="771"/>
      <c r="AC104" s="771"/>
      <c r="AD104" s="771"/>
    </row>
    <row r="105" spans="1:30" ht="9" customHeight="1">
      <c r="A105" s="770"/>
      <c r="B105" s="770"/>
      <c r="C105" s="768"/>
      <c r="D105" s="768"/>
      <c r="E105" s="768"/>
      <c r="F105" s="768"/>
      <c r="G105" s="768"/>
      <c r="H105" s="814"/>
      <c r="I105" s="814"/>
      <c r="J105" s="814"/>
      <c r="K105" s="814"/>
      <c r="L105" s="814"/>
      <c r="M105" s="768"/>
      <c r="N105" s="813"/>
      <c r="O105" s="880"/>
      <c r="P105" s="880"/>
      <c r="Q105" s="880"/>
      <c r="R105" s="880"/>
      <c r="S105" s="768"/>
      <c r="T105" s="768"/>
      <c r="U105" s="768"/>
      <c r="V105" s="768"/>
      <c r="W105" s="768"/>
      <c r="X105" s="768"/>
      <c r="Y105" s="922"/>
      <c r="Z105" s="771"/>
      <c r="AA105" s="774"/>
      <c r="AB105" s="771"/>
      <c r="AC105" s="771"/>
      <c r="AD105" s="771"/>
    </row>
    <row r="106" spans="1:30" ht="9" customHeight="1">
      <c r="A106" s="770"/>
      <c r="B106" s="770"/>
      <c r="C106" s="768"/>
      <c r="D106" s="768"/>
      <c r="E106" s="768"/>
      <c r="F106" s="768"/>
      <c r="G106" s="768"/>
      <c r="H106" s="814"/>
      <c r="I106" s="814"/>
      <c r="J106" s="814"/>
      <c r="K106" s="814"/>
      <c r="L106" s="814"/>
      <c r="M106" s="768"/>
      <c r="N106" s="813"/>
      <c r="O106" s="880"/>
      <c r="P106" s="880"/>
      <c r="Q106" s="880"/>
      <c r="R106" s="880"/>
      <c r="S106" s="768"/>
      <c r="T106" s="768"/>
      <c r="U106" s="768"/>
      <c r="V106" s="768"/>
      <c r="W106" s="768"/>
      <c r="X106" s="768"/>
      <c r="Y106" s="922"/>
      <c r="Z106" s="771"/>
      <c r="AA106" s="774"/>
      <c r="AB106" s="771"/>
      <c r="AC106" s="771"/>
      <c r="AD106" s="771"/>
    </row>
    <row r="107" spans="1:30" ht="9" customHeight="1">
      <c r="A107" s="770"/>
      <c r="B107" s="770"/>
      <c r="C107" s="768"/>
      <c r="D107" s="768"/>
      <c r="E107" s="768"/>
      <c r="F107" s="768"/>
      <c r="G107" s="768"/>
      <c r="H107" s="814"/>
      <c r="I107" s="814"/>
      <c r="J107" s="814"/>
      <c r="K107" s="814"/>
      <c r="L107" s="814"/>
      <c r="M107" s="768"/>
      <c r="N107" s="813"/>
      <c r="O107" s="880"/>
      <c r="P107" s="880"/>
      <c r="Q107" s="880"/>
      <c r="R107" s="880"/>
      <c r="S107" s="768"/>
      <c r="T107" s="768"/>
      <c r="U107" s="768"/>
      <c r="V107" s="768"/>
      <c r="W107" s="768"/>
      <c r="X107" s="768"/>
      <c r="Y107" s="922"/>
      <c r="Z107" s="771"/>
      <c r="AA107" s="774"/>
      <c r="AB107" s="771"/>
      <c r="AC107" s="771"/>
      <c r="AD107" s="771"/>
    </row>
    <row r="108" spans="1:30" ht="9" customHeight="1">
      <c r="A108" s="770"/>
      <c r="B108" s="770"/>
      <c r="C108" s="768"/>
      <c r="D108" s="768"/>
      <c r="E108" s="768"/>
      <c r="F108" s="768"/>
      <c r="G108" s="768"/>
      <c r="H108" s="814"/>
      <c r="I108" s="814"/>
      <c r="J108" s="814"/>
      <c r="K108" s="814"/>
      <c r="L108" s="814"/>
      <c r="M108" s="768"/>
      <c r="N108" s="813"/>
      <c r="O108" s="880"/>
      <c r="P108" s="880"/>
      <c r="Q108" s="880"/>
      <c r="R108" s="880"/>
      <c r="S108" s="768"/>
      <c r="T108" s="768"/>
      <c r="U108" s="768"/>
      <c r="V108" s="768"/>
      <c r="W108" s="768"/>
      <c r="X108" s="768"/>
      <c r="Y108" s="922"/>
      <c r="Z108" s="771"/>
      <c r="AA108" s="774"/>
      <c r="AB108" s="771"/>
      <c r="AC108" s="771"/>
      <c r="AD108" s="771"/>
    </row>
    <row r="109" spans="1:30" ht="9" customHeight="1">
      <c r="A109" s="770"/>
      <c r="B109" s="770"/>
      <c r="C109" s="768"/>
      <c r="D109" s="768"/>
      <c r="E109" s="768"/>
      <c r="F109" s="768"/>
      <c r="G109" s="768"/>
      <c r="H109" s="814"/>
      <c r="I109" s="814"/>
      <c r="J109" s="814"/>
      <c r="K109" s="814"/>
      <c r="L109" s="814"/>
      <c r="M109" s="768"/>
      <c r="N109" s="813"/>
      <c r="O109" s="880"/>
      <c r="P109" s="880"/>
      <c r="Q109" s="880"/>
      <c r="R109" s="880"/>
      <c r="S109" s="768"/>
      <c r="T109" s="768"/>
      <c r="U109" s="768"/>
      <c r="V109" s="768"/>
      <c r="W109" s="768"/>
      <c r="X109" s="768"/>
      <c r="Y109" s="922"/>
      <c r="Z109" s="771"/>
      <c r="AA109" s="774"/>
      <c r="AB109" s="771"/>
      <c r="AC109" s="771"/>
      <c r="AD109" s="771"/>
    </row>
    <row r="110" spans="1:30" ht="9" customHeight="1">
      <c r="A110" s="770"/>
      <c r="B110" s="770"/>
      <c r="C110" s="768"/>
      <c r="D110" s="768"/>
      <c r="E110" s="768"/>
      <c r="F110" s="768"/>
      <c r="G110" s="768"/>
      <c r="H110" s="814"/>
      <c r="I110" s="814"/>
      <c r="J110" s="814"/>
      <c r="K110" s="814"/>
      <c r="L110" s="814"/>
      <c r="M110" s="768"/>
      <c r="N110" s="813"/>
      <c r="O110" s="880"/>
      <c r="P110" s="880"/>
      <c r="Q110" s="880"/>
      <c r="R110" s="880"/>
      <c r="S110" s="768"/>
      <c r="T110" s="768"/>
      <c r="U110" s="768"/>
      <c r="V110" s="768"/>
      <c r="W110" s="768"/>
      <c r="X110" s="768"/>
      <c r="Y110" s="922"/>
      <c r="Z110" s="771"/>
      <c r="AA110" s="774"/>
      <c r="AB110" s="771"/>
      <c r="AC110" s="771"/>
      <c r="AD110" s="771"/>
    </row>
    <row r="111" spans="1:30" ht="9" customHeight="1">
      <c r="A111" s="770"/>
      <c r="B111" s="770"/>
      <c r="C111" s="768"/>
      <c r="D111" s="768"/>
      <c r="E111" s="768"/>
      <c r="F111" s="768"/>
      <c r="G111" s="768"/>
      <c r="H111" s="814"/>
      <c r="I111" s="814"/>
      <c r="J111" s="814"/>
      <c r="K111" s="814"/>
      <c r="L111" s="814"/>
      <c r="M111" s="768"/>
      <c r="N111" s="813"/>
      <c r="O111" s="880"/>
      <c r="P111" s="880"/>
      <c r="Q111" s="880"/>
      <c r="R111" s="880"/>
      <c r="S111" s="768"/>
      <c r="T111" s="768"/>
      <c r="U111" s="768"/>
      <c r="V111" s="768"/>
      <c r="W111" s="768"/>
      <c r="X111" s="768"/>
      <c r="Y111" s="922"/>
      <c r="Z111" s="771"/>
      <c r="AA111" s="774"/>
      <c r="AB111" s="771"/>
      <c r="AC111" s="771"/>
      <c r="AD111" s="771"/>
    </row>
    <row r="112" spans="1:30" ht="9" customHeight="1">
      <c r="A112" s="770"/>
      <c r="B112" s="770"/>
      <c r="C112" s="768"/>
      <c r="D112" s="768"/>
      <c r="E112" s="768"/>
      <c r="F112" s="768"/>
      <c r="G112" s="768"/>
      <c r="H112" s="814"/>
      <c r="I112" s="814"/>
      <c r="J112" s="814"/>
      <c r="K112" s="814"/>
      <c r="L112" s="814"/>
      <c r="M112" s="768"/>
      <c r="N112" s="813"/>
      <c r="O112" s="880"/>
      <c r="P112" s="880"/>
      <c r="Q112" s="880"/>
      <c r="R112" s="880"/>
      <c r="S112" s="768"/>
      <c r="T112" s="768"/>
      <c r="U112" s="768"/>
      <c r="V112" s="768"/>
      <c r="W112" s="768"/>
      <c r="X112" s="768"/>
      <c r="Y112" s="922"/>
      <c r="Z112" s="771"/>
      <c r="AA112" s="774"/>
      <c r="AB112" s="771"/>
      <c r="AC112" s="771"/>
      <c r="AD112" s="771"/>
    </row>
    <row r="113" spans="1:30" ht="9" customHeight="1">
      <c r="A113" s="770"/>
      <c r="B113" s="770"/>
      <c r="C113" s="768"/>
      <c r="D113" s="768"/>
      <c r="E113" s="768"/>
      <c r="F113" s="768"/>
      <c r="G113" s="768"/>
      <c r="H113" s="814"/>
      <c r="I113" s="814"/>
      <c r="J113" s="814"/>
      <c r="K113" s="814"/>
      <c r="L113" s="814"/>
      <c r="M113" s="768"/>
      <c r="N113" s="813"/>
      <c r="O113" s="880"/>
      <c r="P113" s="880"/>
      <c r="Q113" s="880"/>
      <c r="R113" s="880"/>
      <c r="S113" s="768"/>
      <c r="T113" s="768"/>
      <c r="U113" s="768"/>
      <c r="V113" s="768"/>
      <c r="W113" s="768"/>
      <c r="X113" s="768"/>
      <c r="Y113" s="922"/>
      <c r="Z113" s="771"/>
      <c r="AA113" s="774"/>
      <c r="AB113" s="771"/>
      <c r="AC113" s="771"/>
      <c r="AD113" s="771"/>
    </row>
    <row r="114" spans="1:30" ht="9" customHeight="1">
      <c r="A114" s="770"/>
      <c r="B114" s="770"/>
      <c r="C114" s="768"/>
      <c r="D114" s="768"/>
      <c r="E114" s="768"/>
      <c r="F114" s="768"/>
      <c r="G114" s="768"/>
      <c r="H114" s="814"/>
      <c r="I114" s="814"/>
      <c r="J114" s="814"/>
      <c r="K114" s="814"/>
      <c r="L114" s="814"/>
      <c r="M114" s="768"/>
      <c r="N114" s="813"/>
      <c r="O114" s="880"/>
      <c r="P114" s="880"/>
      <c r="Q114" s="880"/>
      <c r="R114" s="880"/>
      <c r="S114" s="768"/>
      <c r="T114" s="768"/>
      <c r="U114" s="768"/>
      <c r="V114" s="768"/>
      <c r="W114" s="768"/>
      <c r="X114" s="768"/>
      <c r="Y114" s="922"/>
      <c r="Z114" s="771"/>
      <c r="AA114" s="774"/>
      <c r="AB114" s="771"/>
      <c r="AC114" s="771"/>
      <c r="AD114" s="771"/>
    </row>
    <row r="115" spans="1:30" ht="9" customHeight="1">
      <c r="A115" s="770"/>
      <c r="B115" s="770"/>
      <c r="C115" s="768"/>
      <c r="D115" s="768"/>
      <c r="E115" s="768"/>
      <c r="F115" s="768"/>
      <c r="G115" s="768"/>
      <c r="H115" s="814"/>
      <c r="I115" s="814"/>
      <c r="J115" s="814"/>
      <c r="K115" s="814"/>
      <c r="L115" s="814"/>
      <c r="M115" s="768"/>
      <c r="N115" s="813"/>
      <c r="O115" s="880"/>
      <c r="P115" s="880"/>
      <c r="Q115" s="880"/>
      <c r="R115" s="880"/>
      <c r="S115" s="768"/>
      <c r="T115" s="768"/>
      <c r="U115" s="768"/>
      <c r="V115" s="768"/>
      <c r="W115" s="768"/>
      <c r="X115" s="768"/>
      <c r="Y115" s="922"/>
      <c r="Z115" s="771"/>
      <c r="AA115" s="774"/>
      <c r="AB115" s="771"/>
      <c r="AC115" s="771"/>
      <c r="AD115" s="771"/>
    </row>
    <row r="116" spans="1:30" ht="9" customHeight="1">
      <c r="A116" s="770"/>
      <c r="B116" s="770"/>
      <c r="C116" s="768"/>
      <c r="D116" s="768"/>
      <c r="E116" s="768"/>
      <c r="F116" s="768"/>
      <c r="G116" s="768"/>
      <c r="H116" s="814"/>
      <c r="I116" s="814"/>
      <c r="J116" s="814"/>
      <c r="K116" s="814"/>
      <c r="L116" s="814"/>
      <c r="M116" s="768"/>
      <c r="N116" s="813"/>
      <c r="O116" s="880"/>
      <c r="P116" s="880"/>
      <c r="Q116" s="880"/>
      <c r="R116" s="880"/>
      <c r="S116" s="768"/>
      <c r="T116" s="768"/>
      <c r="U116" s="768"/>
      <c r="V116" s="768"/>
      <c r="W116" s="768"/>
      <c r="X116" s="768"/>
      <c r="Y116" s="922"/>
      <c r="Z116" s="771"/>
      <c r="AA116" s="774"/>
      <c r="AB116" s="771"/>
      <c r="AC116" s="771"/>
      <c r="AD116" s="771"/>
    </row>
    <row r="117" spans="1:30" ht="9" customHeight="1">
      <c r="A117" s="770"/>
      <c r="B117" s="770"/>
      <c r="C117" s="768"/>
      <c r="D117" s="768"/>
      <c r="E117" s="768"/>
      <c r="F117" s="768"/>
      <c r="G117" s="768"/>
      <c r="H117" s="814"/>
      <c r="I117" s="814"/>
      <c r="J117" s="814"/>
      <c r="K117" s="814"/>
      <c r="L117" s="814"/>
      <c r="M117" s="768"/>
      <c r="N117" s="813"/>
      <c r="O117" s="880"/>
      <c r="P117" s="880"/>
      <c r="Q117" s="880"/>
      <c r="R117" s="880"/>
      <c r="S117" s="768"/>
      <c r="T117" s="768"/>
      <c r="U117" s="768"/>
      <c r="V117" s="768"/>
      <c r="W117" s="768"/>
      <c r="X117" s="768"/>
      <c r="Y117" s="922"/>
      <c r="Z117" s="771"/>
      <c r="AA117" s="774"/>
      <c r="AB117" s="771"/>
      <c r="AC117" s="771"/>
      <c r="AD117" s="771"/>
    </row>
    <row r="118" spans="1:30" ht="9" customHeight="1">
      <c r="A118" s="770"/>
      <c r="B118" s="770"/>
      <c r="C118" s="768"/>
      <c r="D118" s="768"/>
      <c r="E118" s="768"/>
      <c r="F118" s="768"/>
      <c r="G118" s="768"/>
      <c r="H118" s="814"/>
      <c r="I118" s="814"/>
      <c r="J118" s="814"/>
      <c r="K118" s="814"/>
      <c r="L118" s="814"/>
      <c r="M118" s="768"/>
      <c r="N118" s="813"/>
      <c r="O118" s="880"/>
      <c r="P118" s="880"/>
      <c r="Q118" s="880"/>
      <c r="R118" s="880"/>
      <c r="S118" s="768"/>
      <c r="T118" s="768"/>
      <c r="U118" s="768"/>
      <c r="V118" s="768"/>
      <c r="W118" s="768"/>
      <c r="X118" s="768"/>
      <c r="Y118" s="922"/>
      <c r="Z118" s="771"/>
      <c r="AA118" s="774"/>
      <c r="AB118" s="771"/>
      <c r="AC118" s="771"/>
      <c r="AD118" s="771"/>
    </row>
    <row r="119" spans="1:30" ht="9" customHeight="1">
      <c r="A119" s="770"/>
      <c r="B119" s="770"/>
      <c r="C119" s="768"/>
      <c r="D119" s="768"/>
      <c r="E119" s="768"/>
      <c r="F119" s="768"/>
      <c r="G119" s="768"/>
      <c r="H119" s="814"/>
      <c r="I119" s="814"/>
      <c r="J119" s="814"/>
      <c r="K119" s="814"/>
      <c r="L119" s="814"/>
      <c r="M119" s="768"/>
      <c r="N119" s="813"/>
      <c r="O119" s="880"/>
      <c r="P119" s="880"/>
      <c r="Q119" s="880"/>
      <c r="R119" s="880"/>
      <c r="S119" s="768"/>
      <c r="T119" s="768"/>
      <c r="U119" s="768"/>
      <c r="V119" s="768"/>
      <c r="W119" s="768"/>
      <c r="X119" s="768"/>
      <c r="Y119" s="922"/>
      <c r="Z119" s="771"/>
      <c r="AA119" s="774"/>
      <c r="AB119" s="771"/>
      <c r="AC119" s="771"/>
      <c r="AD119" s="771"/>
    </row>
    <row r="120" spans="1:30" ht="9" customHeight="1">
      <c r="A120" s="770"/>
      <c r="B120" s="770"/>
      <c r="C120" s="768"/>
      <c r="D120" s="768"/>
      <c r="E120" s="768"/>
      <c r="F120" s="768"/>
      <c r="G120" s="768"/>
      <c r="H120" s="814"/>
      <c r="I120" s="814"/>
      <c r="J120" s="814"/>
      <c r="K120" s="814"/>
      <c r="L120" s="814"/>
      <c r="M120" s="768"/>
      <c r="N120" s="813"/>
      <c r="O120" s="880"/>
      <c r="P120" s="880"/>
      <c r="Q120" s="880"/>
      <c r="R120" s="880"/>
      <c r="S120" s="768"/>
      <c r="T120" s="768"/>
      <c r="U120" s="768"/>
      <c r="V120" s="768"/>
      <c r="W120" s="768"/>
      <c r="X120" s="768"/>
      <c r="Y120" s="922"/>
      <c r="Z120" s="771"/>
      <c r="AA120" s="774"/>
      <c r="AB120" s="771"/>
      <c r="AC120" s="771"/>
      <c r="AD120" s="771"/>
    </row>
    <row r="121" spans="1:30" ht="9" customHeight="1">
      <c r="A121" s="770"/>
      <c r="B121" s="770"/>
      <c r="C121" s="768"/>
      <c r="D121" s="768"/>
      <c r="E121" s="768"/>
      <c r="F121" s="768"/>
      <c r="G121" s="768"/>
      <c r="H121" s="814"/>
      <c r="I121" s="814"/>
      <c r="J121" s="814"/>
      <c r="K121" s="814"/>
      <c r="L121" s="814"/>
      <c r="M121" s="768"/>
      <c r="N121" s="813"/>
      <c r="O121" s="880"/>
      <c r="P121" s="880"/>
      <c r="Q121" s="880"/>
      <c r="R121" s="880"/>
      <c r="S121" s="768"/>
      <c r="T121" s="768"/>
      <c r="U121" s="768"/>
      <c r="V121" s="768"/>
      <c r="W121" s="768"/>
      <c r="X121" s="768"/>
      <c r="Y121" s="922"/>
      <c r="Z121" s="771"/>
      <c r="AA121" s="774"/>
      <c r="AB121" s="771"/>
      <c r="AC121" s="771"/>
      <c r="AD121" s="771"/>
    </row>
    <row r="122" spans="1:30" ht="9" customHeight="1">
      <c r="A122" s="770"/>
      <c r="B122" s="770"/>
      <c r="C122" s="768"/>
      <c r="D122" s="768"/>
      <c r="E122" s="768"/>
      <c r="F122" s="768"/>
      <c r="G122" s="768"/>
      <c r="H122" s="814"/>
      <c r="I122" s="814"/>
      <c r="J122" s="814"/>
      <c r="K122" s="814"/>
      <c r="L122" s="814"/>
      <c r="M122" s="768"/>
      <c r="N122" s="813"/>
      <c r="O122" s="880"/>
      <c r="P122" s="880"/>
      <c r="Q122" s="880"/>
      <c r="R122" s="880"/>
      <c r="S122" s="768"/>
      <c r="T122" s="768"/>
      <c r="U122" s="768"/>
      <c r="V122" s="768"/>
      <c r="W122" s="768"/>
      <c r="X122" s="768"/>
      <c r="Y122" s="922"/>
      <c r="Z122" s="771"/>
      <c r="AA122" s="774"/>
      <c r="AB122" s="771"/>
      <c r="AC122" s="771"/>
      <c r="AD122" s="771"/>
    </row>
    <row r="123" spans="1:30" ht="9" customHeight="1">
      <c r="A123" s="770"/>
      <c r="B123" s="770"/>
      <c r="C123" s="768"/>
      <c r="D123" s="768"/>
      <c r="E123" s="768"/>
      <c r="F123" s="768"/>
      <c r="G123" s="768"/>
      <c r="H123" s="814"/>
      <c r="I123" s="814"/>
      <c r="J123" s="814"/>
      <c r="K123" s="814"/>
      <c r="L123" s="814"/>
      <c r="M123" s="768"/>
      <c r="N123" s="813"/>
      <c r="O123" s="880"/>
      <c r="P123" s="880"/>
      <c r="Q123" s="880"/>
      <c r="R123" s="880"/>
      <c r="S123" s="768"/>
      <c r="T123" s="768"/>
      <c r="U123" s="768"/>
      <c r="V123" s="768"/>
      <c r="W123" s="768"/>
      <c r="X123" s="768"/>
      <c r="Y123" s="922"/>
      <c r="Z123" s="771"/>
      <c r="AA123" s="774"/>
      <c r="AB123" s="771"/>
      <c r="AC123" s="771"/>
      <c r="AD123" s="771"/>
    </row>
    <row r="124" spans="1:30" ht="9" customHeight="1">
      <c r="A124" s="770"/>
      <c r="B124" s="770"/>
      <c r="C124" s="768"/>
      <c r="D124" s="768"/>
      <c r="E124" s="768"/>
      <c r="F124" s="768"/>
      <c r="G124" s="768"/>
      <c r="H124" s="814"/>
      <c r="I124" s="814"/>
      <c r="J124" s="814"/>
      <c r="K124" s="814"/>
      <c r="L124" s="814"/>
      <c r="M124" s="768"/>
      <c r="N124" s="813"/>
      <c r="O124" s="880"/>
      <c r="P124" s="880"/>
      <c r="Q124" s="880"/>
      <c r="R124" s="880"/>
      <c r="S124" s="768"/>
      <c r="T124" s="768"/>
      <c r="U124" s="768"/>
      <c r="V124" s="768"/>
      <c r="W124" s="768"/>
      <c r="X124" s="768"/>
      <c r="Y124" s="922"/>
      <c r="Z124" s="771"/>
      <c r="AA124" s="774"/>
      <c r="AB124" s="771"/>
      <c r="AC124" s="771"/>
      <c r="AD124" s="771"/>
    </row>
    <row r="125" spans="1:30" ht="9" customHeight="1">
      <c r="A125" s="770"/>
      <c r="B125" s="770"/>
      <c r="C125" s="768"/>
      <c r="D125" s="768"/>
      <c r="E125" s="768"/>
      <c r="F125" s="768"/>
      <c r="G125" s="768"/>
      <c r="H125" s="814"/>
      <c r="I125" s="814"/>
      <c r="J125" s="814"/>
      <c r="K125" s="814"/>
      <c r="L125" s="814"/>
      <c r="M125" s="768"/>
      <c r="N125" s="813"/>
      <c r="O125" s="880"/>
      <c r="P125" s="880"/>
      <c r="Q125" s="880"/>
      <c r="R125" s="880"/>
      <c r="S125" s="768"/>
      <c r="T125" s="768"/>
      <c r="U125" s="768"/>
      <c r="V125" s="768"/>
      <c r="W125" s="768"/>
      <c r="X125" s="768"/>
      <c r="Y125" s="922"/>
      <c r="Z125" s="771"/>
      <c r="AA125" s="774"/>
      <c r="AB125" s="771"/>
      <c r="AC125" s="771"/>
      <c r="AD125" s="771"/>
    </row>
    <row r="126" spans="1:30" ht="9" customHeight="1">
      <c r="A126" s="770"/>
      <c r="B126" s="770"/>
      <c r="C126" s="768"/>
      <c r="D126" s="768"/>
      <c r="E126" s="768"/>
      <c r="F126" s="768"/>
      <c r="G126" s="768"/>
      <c r="H126" s="814"/>
      <c r="I126" s="814"/>
      <c r="J126" s="814"/>
      <c r="K126" s="814"/>
      <c r="L126" s="814"/>
      <c r="M126" s="768"/>
      <c r="N126" s="813"/>
      <c r="O126" s="880"/>
      <c r="P126" s="880"/>
      <c r="Q126" s="880"/>
      <c r="R126" s="880"/>
      <c r="S126" s="768"/>
      <c r="T126" s="768"/>
      <c r="U126" s="768"/>
      <c r="V126" s="768"/>
      <c r="W126" s="768"/>
      <c r="X126" s="768"/>
      <c r="Y126" s="922"/>
      <c r="Z126" s="771"/>
      <c r="AA126" s="774"/>
      <c r="AB126" s="771"/>
      <c r="AC126" s="771"/>
      <c r="AD126" s="771"/>
    </row>
    <row r="127" spans="1:30" ht="9" customHeight="1">
      <c r="A127" s="770"/>
      <c r="B127" s="770"/>
      <c r="C127" s="768"/>
      <c r="D127" s="768"/>
      <c r="E127" s="768"/>
      <c r="F127" s="768"/>
      <c r="G127" s="768"/>
      <c r="H127" s="814"/>
      <c r="I127" s="814"/>
      <c r="J127" s="814"/>
      <c r="K127" s="814"/>
      <c r="L127" s="814"/>
      <c r="M127" s="768"/>
      <c r="N127" s="813"/>
      <c r="O127" s="880"/>
      <c r="P127" s="880"/>
      <c r="Q127" s="880"/>
      <c r="R127" s="880"/>
      <c r="S127" s="768"/>
      <c r="T127" s="768"/>
      <c r="U127" s="768"/>
      <c r="V127" s="768"/>
      <c r="W127" s="768"/>
      <c r="X127" s="768"/>
      <c r="Y127" s="922"/>
      <c r="Z127" s="771"/>
      <c r="AA127" s="774"/>
      <c r="AB127" s="771"/>
      <c r="AC127" s="771"/>
      <c r="AD127" s="771"/>
    </row>
    <row r="128" spans="1:30" ht="9" customHeight="1">
      <c r="A128" s="770"/>
      <c r="B128" s="770"/>
      <c r="C128" s="768"/>
      <c r="D128" s="768"/>
      <c r="E128" s="768"/>
      <c r="F128" s="768"/>
      <c r="G128" s="768"/>
      <c r="H128" s="814"/>
      <c r="I128" s="814"/>
      <c r="J128" s="814"/>
      <c r="K128" s="814"/>
      <c r="L128" s="814"/>
      <c r="M128" s="768"/>
      <c r="N128" s="813"/>
      <c r="O128" s="880"/>
      <c r="P128" s="880"/>
      <c r="Q128" s="880"/>
      <c r="R128" s="880"/>
      <c r="S128" s="768"/>
      <c r="T128" s="768"/>
      <c r="U128" s="768"/>
      <c r="V128" s="768"/>
      <c r="W128" s="768"/>
      <c r="X128" s="768"/>
      <c r="Y128" s="922"/>
      <c r="Z128" s="771"/>
      <c r="AA128" s="774"/>
      <c r="AB128" s="771"/>
      <c r="AC128" s="771"/>
      <c r="AD128" s="771"/>
    </row>
    <row r="129" spans="1:30" ht="9" customHeight="1">
      <c r="A129" s="770"/>
      <c r="B129" s="770"/>
      <c r="C129" s="768"/>
      <c r="D129" s="768"/>
      <c r="E129" s="768"/>
      <c r="F129" s="768"/>
      <c r="G129" s="768"/>
      <c r="H129" s="814"/>
      <c r="I129" s="814"/>
      <c r="J129" s="814"/>
      <c r="K129" s="814"/>
      <c r="L129" s="814"/>
      <c r="M129" s="768"/>
      <c r="N129" s="813"/>
      <c r="O129" s="880"/>
      <c r="P129" s="880"/>
      <c r="Q129" s="880"/>
      <c r="R129" s="880"/>
      <c r="S129" s="768"/>
      <c r="T129" s="768"/>
      <c r="U129" s="768"/>
      <c r="V129" s="768"/>
      <c r="W129" s="768"/>
      <c r="X129" s="768"/>
      <c r="Y129" s="922"/>
      <c r="Z129" s="771"/>
      <c r="AA129" s="774"/>
      <c r="AB129" s="771"/>
      <c r="AC129" s="771"/>
      <c r="AD129" s="771"/>
    </row>
    <row r="130" spans="1:30" ht="9" customHeight="1">
      <c r="A130" s="770"/>
      <c r="B130" s="770"/>
      <c r="C130" s="768"/>
      <c r="D130" s="768"/>
      <c r="E130" s="768"/>
      <c r="F130" s="768"/>
      <c r="G130" s="768"/>
      <c r="H130" s="814"/>
      <c r="I130" s="814"/>
      <c r="J130" s="814"/>
      <c r="K130" s="814"/>
      <c r="L130" s="814"/>
      <c r="M130" s="768"/>
      <c r="N130" s="813"/>
      <c r="O130" s="882"/>
      <c r="P130" s="882"/>
      <c r="Q130" s="882"/>
      <c r="R130" s="882"/>
      <c r="S130" s="768"/>
      <c r="T130" s="768"/>
      <c r="U130" s="768"/>
      <c r="V130" s="768"/>
      <c r="W130" s="768"/>
      <c r="X130" s="768"/>
      <c r="Y130" s="922"/>
      <c r="Z130" s="771"/>
      <c r="AA130" s="774"/>
      <c r="AB130" s="771"/>
      <c r="AC130" s="771"/>
      <c r="AD130" s="771"/>
    </row>
    <row r="131" spans="1:30" ht="9" customHeight="1">
      <c r="A131" s="770"/>
      <c r="B131" s="770"/>
      <c r="C131" s="768"/>
      <c r="D131" s="768"/>
      <c r="E131" s="768"/>
      <c r="F131" s="768"/>
      <c r="G131" s="768"/>
      <c r="H131" s="814"/>
      <c r="I131" s="814"/>
      <c r="J131" s="814"/>
      <c r="K131" s="814"/>
      <c r="L131" s="814"/>
      <c r="M131" s="768"/>
      <c r="N131" s="813"/>
      <c r="O131" s="883"/>
      <c r="P131" s="883"/>
      <c r="Q131" s="883"/>
      <c r="R131" s="883"/>
      <c r="S131" s="768"/>
      <c r="T131" s="768"/>
      <c r="U131" s="768"/>
      <c r="V131" s="768"/>
      <c r="W131" s="768"/>
      <c r="X131" s="768"/>
      <c r="Y131" s="922"/>
      <c r="Z131" s="771"/>
      <c r="AA131" s="774"/>
      <c r="AB131" s="771"/>
      <c r="AC131" s="771"/>
      <c r="AD131" s="771"/>
    </row>
    <row r="132" spans="1:30" ht="9" customHeight="1">
      <c r="A132" s="770"/>
      <c r="B132" s="770"/>
      <c r="C132" s="768"/>
      <c r="D132" s="768"/>
      <c r="E132" s="768"/>
      <c r="F132" s="768"/>
      <c r="G132" s="768"/>
      <c r="H132" s="814"/>
      <c r="I132" s="814"/>
      <c r="J132" s="814"/>
      <c r="K132" s="814"/>
      <c r="L132" s="814"/>
      <c r="M132" s="768"/>
      <c r="N132" s="813"/>
      <c r="O132" s="882"/>
      <c r="P132" s="882"/>
      <c r="Q132" s="882"/>
      <c r="R132" s="882"/>
      <c r="S132" s="768"/>
      <c r="T132" s="768"/>
      <c r="U132" s="768"/>
      <c r="V132" s="768"/>
      <c r="W132" s="768"/>
      <c r="X132" s="768"/>
      <c r="Y132" s="922"/>
      <c r="Z132" s="771"/>
      <c r="AA132" s="774"/>
      <c r="AB132" s="771"/>
      <c r="AC132" s="771"/>
      <c r="AD132" s="771"/>
    </row>
    <row r="133" spans="1:30" ht="9" customHeight="1">
      <c r="A133" s="770"/>
      <c r="B133" s="770"/>
      <c r="C133" s="768"/>
      <c r="D133" s="768"/>
      <c r="E133" s="768"/>
      <c r="F133" s="768"/>
      <c r="G133" s="768"/>
      <c r="H133" s="814"/>
      <c r="I133" s="814"/>
      <c r="J133" s="814"/>
      <c r="K133" s="814"/>
      <c r="L133" s="814"/>
      <c r="M133" s="768"/>
      <c r="N133" s="813"/>
      <c r="O133" s="883"/>
      <c r="P133" s="883"/>
      <c r="Q133" s="883"/>
      <c r="R133" s="883"/>
      <c r="S133" s="768"/>
      <c r="T133" s="768"/>
      <c r="U133" s="768"/>
      <c r="V133" s="768"/>
      <c r="W133" s="768"/>
      <c r="X133" s="768"/>
      <c r="Y133" s="922"/>
      <c r="Z133" s="771"/>
      <c r="AA133" s="774"/>
      <c r="AB133" s="771"/>
      <c r="AC133" s="771"/>
      <c r="AD133" s="771"/>
    </row>
    <row r="134" spans="1:30" ht="9" customHeight="1">
      <c r="A134" s="770"/>
      <c r="B134" s="770"/>
      <c r="C134" s="768"/>
      <c r="D134" s="768"/>
      <c r="E134" s="768"/>
      <c r="F134" s="768"/>
      <c r="G134" s="768"/>
      <c r="H134" s="814"/>
      <c r="I134" s="814"/>
      <c r="J134" s="814"/>
      <c r="K134" s="814"/>
      <c r="L134" s="814"/>
      <c r="M134" s="768"/>
      <c r="N134" s="813"/>
      <c r="O134" s="880"/>
      <c r="P134" s="880"/>
      <c r="Q134" s="880"/>
      <c r="R134" s="880"/>
      <c r="S134" s="768"/>
      <c r="T134" s="768"/>
      <c r="U134" s="768"/>
      <c r="V134" s="768"/>
      <c r="W134" s="768"/>
      <c r="X134" s="768"/>
      <c r="Y134" s="922"/>
      <c r="Z134" s="771"/>
      <c r="AA134" s="774"/>
      <c r="AB134" s="771"/>
      <c r="AC134" s="771"/>
      <c r="AD134" s="771"/>
    </row>
    <row r="135" spans="1:30" ht="9" customHeight="1">
      <c r="A135" s="770"/>
      <c r="B135" s="770"/>
      <c r="C135" s="768"/>
      <c r="D135" s="768"/>
      <c r="E135" s="768"/>
      <c r="F135" s="768"/>
      <c r="G135" s="768"/>
      <c r="H135" s="814"/>
      <c r="I135" s="814"/>
      <c r="J135" s="814"/>
      <c r="K135" s="814"/>
      <c r="L135" s="814"/>
      <c r="M135" s="768"/>
      <c r="N135" s="813"/>
      <c r="O135" s="880"/>
      <c r="P135" s="880"/>
      <c r="Q135" s="880"/>
      <c r="R135" s="880"/>
      <c r="S135" s="768"/>
      <c r="T135" s="768"/>
      <c r="U135" s="768"/>
      <c r="V135" s="768"/>
      <c r="W135" s="768"/>
      <c r="X135" s="768"/>
      <c r="Y135" s="922"/>
      <c r="Z135" s="771"/>
      <c r="AA135" s="774"/>
      <c r="AB135" s="771"/>
      <c r="AC135" s="771"/>
      <c r="AD135" s="771"/>
    </row>
    <row r="136" spans="1:30" ht="9" customHeight="1">
      <c r="A136" s="770"/>
      <c r="B136" s="770"/>
      <c r="C136" s="768"/>
      <c r="D136" s="768"/>
      <c r="E136" s="768"/>
      <c r="F136" s="768"/>
      <c r="G136" s="768"/>
      <c r="H136" s="814"/>
      <c r="I136" s="814"/>
      <c r="J136" s="814"/>
      <c r="K136" s="814"/>
      <c r="L136" s="814"/>
      <c r="M136" s="768"/>
      <c r="N136" s="813"/>
      <c r="O136" s="880"/>
      <c r="P136" s="880"/>
      <c r="Q136" s="880"/>
      <c r="R136" s="880"/>
      <c r="S136" s="768"/>
      <c r="T136" s="768"/>
      <c r="U136" s="768"/>
      <c r="V136" s="768"/>
      <c r="W136" s="768"/>
      <c r="X136" s="768"/>
      <c r="Y136" s="922"/>
      <c r="Z136" s="771"/>
      <c r="AA136" s="774"/>
      <c r="AB136" s="771"/>
      <c r="AC136" s="771"/>
      <c r="AD136" s="771"/>
    </row>
    <row r="137" spans="1:30" ht="9" customHeight="1">
      <c r="A137" s="770"/>
      <c r="B137" s="770"/>
      <c r="C137" s="768"/>
      <c r="D137" s="768"/>
      <c r="E137" s="768"/>
      <c r="F137" s="768"/>
      <c r="G137" s="768"/>
      <c r="H137" s="814"/>
      <c r="I137" s="814"/>
      <c r="J137" s="814"/>
      <c r="K137" s="814"/>
      <c r="L137" s="814"/>
      <c r="M137" s="768"/>
      <c r="N137" s="813"/>
      <c r="O137" s="884"/>
      <c r="P137" s="884"/>
      <c r="Q137" s="884"/>
      <c r="R137" s="884"/>
      <c r="S137" s="768"/>
      <c r="T137" s="768"/>
      <c r="U137" s="768"/>
      <c r="V137" s="768"/>
      <c r="W137" s="768"/>
      <c r="X137" s="768"/>
      <c r="Y137" s="922"/>
      <c r="Z137" s="771"/>
      <c r="AA137" s="774"/>
      <c r="AB137" s="771"/>
      <c r="AC137" s="771"/>
      <c r="AD137" s="771"/>
    </row>
    <row r="138" spans="1:30" ht="9" customHeight="1">
      <c r="A138" s="770"/>
      <c r="B138" s="770"/>
      <c r="C138" s="768"/>
      <c r="D138" s="768"/>
      <c r="E138" s="768"/>
      <c r="F138" s="768"/>
      <c r="G138" s="768"/>
      <c r="H138" s="814"/>
      <c r="I138" s="814"/>
      <c r="J138" s="814"/>
      <c r="K138" s="814"/>
      <c r="L138" s="814"/>
      <c r="M138" s="768"/>
      <c r="N138" s="813"/>
      <c r="O138" s="881"/>
      <c r="P138" s="881"/>
      <c r="Q138" s="881"/>
      <c r="R138" s="881"/>
      <c r="S138" s="768"/>
      <c r="T138" s="768"/>
      <c r="U138" s="768"/>
      <c r="V138" s="768"/>
      <c r="W138" s="768"/>
      <c r="X138" s="768"/>
      <c r="Y138" s="922"/>
      <c r="Z138" s="771"/>
      <c r="AA138" s="774"/>
      <c r="AB138" s="771"/>
      <c r="AC138" s="771"/>
      <c r="AD138" s="771"/>
    </row>
    <row r="139" spans="1:30" ht="9" customHeight="1">
      <c r="A139" s="770"/>
      <c r="B139" s="770"/>
      <c r="C139" s="768"/>
      <c r="D139" s="768"/>
      <c r="E139" s="768"/>
      <c r="F139" s="768"/>
      <c r="G139" s="768"/>
      <c r="H139" s="814"/>
      <c r="I139" s="814"/>
      <c r="J139" s="814"/>
      <c r="K139" s="814"/>
      <c r="L139" s="814"/>
      <c r="M139" s="768"/>
      <c r="N139" s="813"/>
      <c r="O139" s="768"/>
      <c r="P139" s="768"/>
      <c r="Q139" s="768"/>
      <c r="R139" s="768"/>
      <c r="S139" s="768"/>
      <c r="T139" s="768"/>
      <c r="U139" s="768"/>
      <c r="V139" s="768"/>
      <c r="W139" s="768"/>
      <c r="X139" s="768"/>
      <c r="Y139" s="922"/>
      <c r="Z139" s="771"/>
      <c r="AA139" s="774"/>
      <c r="AB139" s="771"/>
      <c r="AC139" s="771"/>
      <c r="AD139" s="771"/>
    </row>
    <row r="140" spans="1:30" ht="9" customHeight="1">
      <c r="A140" s="770"/>
      <c r="B140" s="770"/>
      <c r="C140" s="768"/>
      <c r="D140" s="768"/>
      <c r="E140" s="768"/>
      <c r="F140" s="768"/>
      <c r="G140" s="768"/>
      <c r="H140" s="814"/>
      <c r="I140" s="814"/>
      <c r="J140" s="814"/>
      <c r="K140" s="814"/>
      <c r="L140" s="814"/>
      <c r="M140" s="768"/>
      <c r="N140" s="813"/>
      <c r="O140" s="768"/>
      <c r="P140" s="768"/>
      <c r="Q140" s="768"/>
      <c r="R140" s="768"/>
      <c r="S140" s="768"/>
      <c r="T140" s="768"/>
      <c r="U140" s="768"/>
      <c r="V140" s="768"/>
      <c r="W140" s="768"/>
      <c r="X140" s="768"/>
      <c r="Y140" s="922"/>
      <c r="Z140" s="771"/>
      <c r="AA140" s="774"/>
      <c r="AB140" s="771"/>
      <c r="AC140" s="771"/>
      <c r="AD140" s="771"/>
    </row>
    <row r="141" spans="1:30" ht="9" customHeight="1">
      <c r="A141" s="770"/>
      <c r="B141" s="770"/>
      <c r="C141" s="768"/>
      <c r="D141" s="768"/>
      <c r="E141" s="768"/>
      <c r="F141" s="768"/>
      <c r="G141" s="768"/>
      <c r="H141" s="814"/>
      <c r="I141" s="814"/>
      <c r="J141" s="814"/>
      <c r="K141" s="814"/>
      <c r="L141" s="814"/>
      <c r="M141" s="768"/>
      <c r="N141" s="813"/>
      <c r="O141" s="768"/>
      <c r="P141" s="768"/>
      <c r="Q141" s="768"/>
      <c r="R141" s="768"/>
      <c r="S141" s="768"/>
      <c r="T141" s="768"/>
      <c r="U141" s="768"/>
      <c r="V141" s="768"/>
      <c r="W141" s="768"/>
      <c r="X141" s="768"/>
      <c r="Y141" s="922"/>
      <c r="Z141" s="771"/>
      <c r="AA141" s="774"/>
      <c r="AB141" s="771"/>
      <c r="AC141" s="771"/>
      <c r="AD141" s="771"/>
    </row>
    <row r="142" spans="1:30" ht="9" customHeight="1">
      <c r="A142" s="770"/>
      <c r="B142" s="770"/>
      <c r="C142" s="768"/>
      <c r="D142" s="768"/>
      <c r="E142" s="768"/>
      <c r="F142" s="768"/>
      <c r="G142" s="768"/>
      <c r="H142" s="814"/>
      <c r="I142" s="814"/>
      <c r="J142" s="814"/>
      <c r="K142" s="814"/>
      <c r="L142" s="814"/>
      <c r="M142" s="768"/>
      <c r="N142" s="813"/>
      <c r="O142" s="768"/>
      <c r="P142" s="768"/>
      <c r="Q142" s="768"/>
      <c r="R142" s="768"/>
      <c r="S142" s="768"/>
      <c r="T142" s="768"/>
      <c r="U142" s="768"/>
      <c r="V142" s="768"/>
      <c r="W142" s="768"/>
      <c r="X142" s="768"/>
      <c r="Y142" s="922"/>
      <c r="Z142" s="771"/>
      <c r="AA142" s="774"/>
      <c r="AB142" s="771"/>
      <c r="AC142" s="771"/>
      <c r="AD142" s="771"/>
    </row>
    <row r="143" spans="1:30" ht="9" customHeight="1">
      <c r="A143" s="770"/>
      <c r="B143" s="770"/>
      <c r="C143" s="768"/>
      <c r="D143" s="768"/>
      <c r="E143" s="768"/>
      <c r="F143" s="768"/>
      <c r="G143" s="768"/>
      <c r="H143" s="814"/>
      <c r="I143" s="814"/>
      <c r="J143" s="814"/>
      <c r="K143" s="814"/>
      <c r="L143" s="814"/>
      <c r="M143" s="768"/>
      <c r="N143" s="813"/>
      <c r="O143" s="768"/>
      <c r="P143" s="768"/>
      <c r="Q143" s="768"/>
      <c r="R143" s="768"/>
      <c r="S143" s="768"/>
      <c r="T143" s="768"/>
      <c r="U143" s="768"/>
      <c r="V143" s="768"/>
      <c r="W143" s="768"/>
      <c r="X143" s="768"/>
      <c r="Y143" s="922"/>
      <c r="Z143" s="771"/>
      <c r="AA143" s="774"/>
      <c r="AB143" s="771"/>
      <c r="AC143" s="771"/>
      <c r="AD143" s="771"/>
    </row>
    <row r="144" spans="1:30" ht="9" customHeight="1">
      <c r="A144" s="770"/>
      <c r="B144" s="770"/>
      <c r="C144" s="768"/>
      <c r="D144" s="768"/>
      <c r="E144" s="768"/>
      <c r="F144" s="768"/>
      <c r="G144" s="768"/>
      <c r="H144" s="814"/>
      <c r="I144" s="814"/>
      <c r="J144" s="814"/>
      <c r="K144" s="814"/>
      <c r="L144" s="814"/>
      <c r="M144" s="768"/>
      <c r="N144" s="813"/>
      <c r="O144" s="768"/>
      <c r="P144" s="768"/>
      <c r="Q144" s="768"/>
      <c r="R144" s="768"/>
      <c r="S144" s="768"/>
      <c r="T144" s="768"/>
      <c r="U144" s="768"/>
      <c r="V144" s="768"/>
      <c r="W144" s="768"/>
      <c r="X144" s="768"/>
      <c r="Y144" s="922"/>
      <c r="Z144" s="771"/>
      <c r="AA144" s="774"/>
      <c r="AB144" s="771"/>
      <c r="AC144" s="771"/>
      <c r="AD144" s="771"/>
    </row>
    <row r="145" spans="1:30" ht="9" customHeight="1">
      <c r="A145" s="770"/>
      <c r="B145" s="770"/>
      <c r="C145" s="768"/>
      <c r="D145" s="768"/>
      <c r="E145" s="768"/>
      <c r="F145" s="768"/>
      <c r="G145" s="768"/>
      <c r="H145" s="814"/>
      <c r="I145" s="814"/>
      <c r="J145" s="814"/>
      <c r="K145" s="814"/>
      <c r="L145" s="814"/>
      <c r="M145" s="768"/>
      <c r="N145" s="813"/>
      <c r="O145" s="768"/>
      <c r="P145" s="768"/>
      <c r="Q145" s="768"/>
      <c r="R145" s="768"/>
      <c r="S145" s="768"/>
      <c r="T145" s="768"/>
      <c r="U145" s="768"/>
      <c r="V145" s="768"/>
      <c r="W145" s="768"/>
      <c r="X145" s="768"/>
      <c r="Y145" s="922"/>
      <c r="Z145" s="771"/>
      <c r="AA145" s="774"/>
      <c r="AB145" s="771"/>
      <c r="AC145" s="771"/>
      <c r="AD145" s="771"/>
    </row>
    <row r="146" spans="1:30" ht="9" customHeight="1">
      <c r="A146" s="770"/>
      <c r="B146" s="770"/>
      <c r="C146" s="768"/>
      <c r="D146" s="768"/>
      <c r="E146" s="768"/>
      <c r="F146" s="768"/>
      <c r="G146" s="768"/>
      <c r="H146" s="814"/>
      <c r="I146" s="814"/>
      <c r="J146" s="814"/>
      <c r="K146" s="814"/>
      <c r="L146" s="814"/>
      <c r="M146" s="768"/>
      <c r="N146" s="813"/>
      <c r="O146" s="768"/>
      <c r="P146" s="768"/>
      <c r="Q146" s="768"/>
      <c r="R146" s="768"/>
      <c r="S146" s="768"/>
      <c r="T146" s="768"/>
      <c r="U146" s="768"/>
      <c r="V146" s="768"/>
      <c r="W146" s="768"/>
      <c r="X146" s="768"/>
      <c r="Y146" s="922"/>
      <c r="Z146" s="771"/>
      <c r="AA146" s="774"/>
      <c r="AB146" s="771"/>
      <c r="AC146" s="771"/>
      <c r="AD146" s="771"/>
    </row>
    <row r="147" spans="1:30" ht="9" customHeight="1">
      <c r="A147" s="770"/>
      <c r="B147" s="770"/>
      <c r="C147" s="770"/>
      <c r="D147" s="770"/>
      <c r="E147" s="770"/>
      <c r="F147" s="770"/>
      <c r="G147" s="770"/>
      <c r="H147" s="770"/>
      <c r="I147" s="770"/>
      <c r="J147" s="770"/>
      <c r="K147" s="770"/>
      <c r="L147" s="770"/>
      <c r="M147" s="770"/>
      <c r="N147" s="770"/>
      <c r="O147" s="770"/>
      <c r="P147" s="770"/>
      <c r="Q147" s="770"/>
      <c r="R147" s="770"/>
      <c r="S147" s="770"/>
      <c r="T147" s="770"/>
      <c r="U147" s="770"/>
      <c r="V147" s="770"/>
      <c r="W147" s="770"/>
      <c r="X147" s="770"/>
      <c r="Y147" s="770"/>
      <c r="Z147" s="770"/>
      <c r="AA147" s="770"/>
      <c r="AB147" s="770"/>
      <c r="AC147" s="770"/>
      <c r="AD147" s="770"/>
    </row>
    <row r="148" spans="1:30" ht="90" customHeight="1">
      <c r="A148" s="770" t="s">
        <v>1693</v>
      </c>
      <c r="B148" s="770"/>
      <c r="C148" s="768" t="s">
        <v>2256</v>
      </c>
      <c r="D148" s="768" t="s">
        <v>1594</v>
      </c>
      <c r="E148" s="768" t="s">
        <v>100</v>
      </c>
      <c r="F148" s="768" t="s">
        <v>2257</v>
      </c>
      <c r="G148" s="768"/>
      <c r="H148" s="768"/>
      <c r="I148" s="886"/>
      <c r="J148" s="886"/>
      <c r="K148" s="886"/>
      <c r="L148" s="886"/>
      <c r="M148" s="816"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773"/>
      <c r="O148" s="768"/>
      <c r="P148" s="769"/>
      <c r="Q148" s="769"/>
      <c r="R148" s="769"/>
      <c r="S148" s="768"/>
      <c r="T148" s="768" t="s">
        <v>2258</v>
      </c>
      <c r="U148" s="769"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769"/>
      <c r="W148" s="769"/>
      <c r="X148" s="768" t="s">
        <v>2259</v>
      </c>
      <c r="Y148" s="922"/>
      <c r="Z148" s="771"/>
      <c r="AA148" s="774"/>
      <c r="AB148" s="771"/>
      <c r="AC148" s="771"/>
      <c r="AD148" s="771"/>
    </row>
    <row r="149" spans="1:30" ht="9" customHeight="1">
      <c r="A149" s="770"/>
      <c r="B149" s="770"/>
      <c r="C149" s="770"/>
      <c r="D149" s="770"/>
      <c r="E149" s="770"/>
      <c r="F149" s="770"/>
      <c r="G149" s="770"/>
      <c r="H149" s="770"/>
      <c r="I149" s="770"/>
      <c r="J149" s="770"/>
      <c r="K149" s="770"/>
      <c r="L149" s="770"/>
      <c r="M149" s="770"/>
      <c r="N149" s="770"/>
      <c r="O149" s="770"/>
      <c r="P149" s="770"/>
      <c r="Q149" s="770"/>
      <c r="R149" s="770"/>
      <c r="S149" s="770"/>
      <c r="T149" s="770"/>
      <c r="U149" s="770"/>
      <c r="V149" s="770"/>
      <c r="W149" s="770"/>
      <c r="X149" s="770"/>
      <c r="Y149" s="770"/>
      <c r="Z149" s="770"/>
      <c r="AA149" s="770"/>
      <c r="AB149" s="770"/>
      <c r="AC149" s="770"/>
      <c r="AD149" s="770"/>
    </row>
    <row r="150" spans="1:30" ht="9" customHeight="1">
      <c r="A150" s="770" t="s">
        <v>1696</v>
      </c>
      <c r="B150" s="770"/>
      <c r="C150" s="768"/>
      <c r="D150" s="768"/>
      <c r="E150" s="768"/>
      <c r="F150" s="768"/>
      <c r="G150" s="768"/>
      <c r="H150" s="768"/>
      <c r="I150" s="768"/>
      <c r="J150" s="768"/>
      <c r="K150" s="768"/>
      <c r="L150" s="768"/>
      <c r="M150" s="768"/>
      <c r="N150" s="768"/>
      <c r="O150" s="768"/>
      <c r="P150" s="768"/>
      <c r="Q150" s="768"/>
      <c r="R150" s="768"/>
      <c r="S150" s="768"/>
      <c r="T150" s="768"/>
      <c r="U150" s="768"/>
      <c r="V150" s="768"/>
      <c r="W150" s="768"/>
      <c r="X150" s="768"/>
      <c r="Y150" s="922"/>
      <c r="Z150" s="771"/>
      <c r="AA150" s="774"/>
      <c r="AB150" s="771"/>
      <c r="AC150" s="771"/>
      <c r="AD150" s="771"/>
    </row>
    <row r="151" spans="1:30" ht="9" customHeight="1">
      <c r="A151" s="770"/>
      <c r="B151" s="770"/>
      <c r="C151" s="770"/>
      <c r="D151" s="770"/>
      <c r="E151" s="770"/>
      <c r="F151" s="770"/>
      <c r="G151" s="770"/>
      <c r="H151" s="770"/>
      <c r="I151" s="770"/>
      <c r="J151" s="770"/>
      <c r="K151" s="770"/>
      <c r="L151" s="770"/>
      <c r="M151" s="770"/>
      <c r="N151" s="770"/>
      <c r="O151" s="770"/>
      <c r="P151" s="770"/>
      <c r="Q151" s="770"/>
      <c r="R151" s="770"/>
      <c r="S151" s="770"/>
      <c r="T151" s="770"/>
      <c r="U151" s="770"/>
      <c r="V151" s="770"/>
      <c r="W151" s="770"/>
      <c r="X151" s="770"/>
      <c r="Y151" s="770"/>
      <c r="Z151" s="770"/>
      <c r="AA151" s="770"/>
      <c r="AB151" s="770"/>
      <c r="AC151" s="770"/>
      <c r="AD151" s="770"/>
    </row>
    <row r="152" spans="1:30" ht="9" customHeight="1">
      <c r="A152" s="770" t="s">
        <v>1699</v>
      </c>
      <c r="B152" s="770"/>
      <c r="C152" s="768"/>
      <c r="D152" s="768"/>
      <c r="E152" s="768"/>
      <c r="F152" s="768"/>
      <c r="G152" s="768"/>
      <c r="H152" s="768"/>
      <c r="I152" s="768"/>
      <c r="J152" s="768"/>
      <c r="K152" s="768"/>
      <c r="L152" s="768"/>
      <c r="M152" s="768"/>
      <c r="N152" s="768"/>
      <c r="O152" s="768"/>
      <c r="P152" s="768"/>
      <c r="Q152" s="768"/>
      <c r="R152" s="768"/>
      <c r="S152" s="768"/>
      <c r="T152" s="768"/>
      <c r="U152" s="768"/>
      <c r="V152" s="768"/>
      <c r="W152" s="768"/>
      <c r="X152" s="768"/>
      <c r="Y152" s="922"/>
      <c r="Z152" s="771"/>
      <c r="AA152" s="774"/>
      <c r="AB152" s="771"/>
      <c r="AC152" s="771"/>
      <c r="AD152" s="771"/>
    </row>
    <row r="153" spans="1:30" ht="9" customHeight="1">
      <c r="A153" s="770"/>
      <c r="B153" s="770"/>
      <c r="C153" s="770"/>
      <c r="D153" s="770"/>
      <c r="E153" s="770"/>
      <c r="F153" s="770"/>
      <c r="G153" s="770"/>
      <c r="H153" s="770"/>
      <c r="I153" s="770"/>
      <c r="J153" s="770"/>
      <c r="K153" s="770"/>
      <c r="L153" s="770"/>
      <c r="M153" s="770"/>
      <c r="N153" s="770"/>
      <c r="O153" s="770"/>
      <c r="P153" s="770"/>
      <c r="Q153" s="770"/>
      <c r="R153" s="770"/>
      <c r="S153" s="770"/>
      <c r="T153" s="770"/>
      <c r="U153" s="770"/>
      <c r="V153" s="770"/>
      <c r="W153" s="770"/>
      <c r="X153" s="770"/>
      <c r="Y153" s="770"/>
      <c r="Z153" s="770"/>
      <c r="AA153" s="770"/>
      <c r="AB153" s="770"/>
      <c r="AC153" s="770"/>
      <c r="AD153" s="770"/>
    </row>
    <row r="154" spans="1:30" ht="9" customHeight="1">
      <c r="A154" s="770" t="s">
        <v>1703</v>
      </c>
      <c r="B154" s="770"/>
      <c r="C154" s="768"/>
      <c r="D154" s="768"/>
      <c r="E154" s="768"/>
      <c r="F154" s="768"/>
      <c r="G154" s="768"/>
      <c r="H154" s="768"/>
      <c r="I154" s="768"/>
      <c r="J154" s="768"/>
      <c r="K154" s="768"/>
      <c r="L154" s="768"/>
      <c r="M154" s="768"/>
      <c r="N154" s="768"/>
      <c r="O154" s="768"/>
      <c r="P154" s="768"/>
      <c r="Q154" s="768"/>
      <c r="R154" s="768"/>
      <c r="S154" s="768"/>
      <c r="T154" s="768"/>
      <c r="U154" s="768"/>
      <c r="V154" s="768"/>
      <c r="W154" s="768"/>
      <c r="X154" s="768"/>
      <c r="Y154" s="922"/>
      <c r="Z154" s="771"/>
      <c r="AA154" s="774"/>
      <c r="AB154" s="771"/>
      <c r="AC154" s="771"/>
      <c r="AD154" s="771"/>
    </row>
  </sheetData>
  <sheetProtection insertRows="0" deleteColumns="0" deleteRows="0" sort="0" autoFilter="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 right="0.7" top="0.75" bottom="0.75" header="0.3" footer="0.3"/>
  <pageSetup paperSize="9" orientation="portrait"/>
  <headerFooter>
    <oddHeader>&amp;L&amp;C&amp;R</oddHeader>
    <oddFooter>&amp;L&amp;C&amp;R</oddFooter>
    <evenHeader>&amp;L&amp;C&amp;R</evenHeader>
    <evenFooter>&amp;L&amp;C&amp;R</evenFooter>
  </headerFooter>
  <legacy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CF72F7-EDFA-B8F1-3BAB-B3E55E8A5892}">
  <sheetPr>
    <tabColor theme="6" tint="0.39997558519241921"/>
  </sheetPr>
  <dimension ref="A1:AD41"/>
  <sheetViews>
    <sheetView showGridLines="0" topLeftCell="I4" workbookViewId="0"/>
  </sheetViews>
  <sheetFormatPr defaultColWidth="10.59765625" defaultRowHeight="14.25" customHeight="1"/>
  <cols>
    <col min="1" max="1" width="10.59765625" style="2016" hidden="1"/>
    <col min="2" max="2" width="11" style="2016" hidden="1" customWidth="1"/>
    <col min="3" max="3" width="10.59765625" style="2016" hidden="1"/>
    <col min="4" max="4" width="11.796875" style="2016" hidden="1" customWidth="1"/>
    <col min="5" max="5" width="12.296875" style="2016" hidden="1" customWidth="1"/>
    <col min="6" max="8" width="12.296875" style="2006" hidden="1" customWidth="1"/>
    <col min="9" max="9" width="3" style="2217" customWidth="1"/>
    <col min="10" max="11" width="3" style="2215" customWidth="1"/>
    <col min="12" max="12" width="12" style="2218" customWidth="1"/>
    <col min="13" max="13" width="31" style="2004" customWidth="1"/>
    <col min="14" max="14" width="1" style="2004" customWidth="1"/>
    <col min="15" max="18" width="24" style="2004" customWidth="1"/>
    <col min="19" max="19" width="11" style="2004" customWidth="1"/>
    <col min="20" max="20" width="3.69921875" style="2004" customWidth="1"/>
    <col min="21" max="21" width="11" style="2004" customWidth="1"/>
    <col min="22" max="22" width="8.59765625" style="2004" customWidth="1"/>
    <col min="23" max="23" width="4" style="2004" customWidth="1"/>
    <col min="24" max="24" width="115" style="2004" customWidth="1"/>
    <col min="25" max="29" width="10" style="2017" customWidth="1"/>
    <col min="30" max="30" width="10.59765625" style="2004" hidden="1"/>
  </cols>
  <sheetData>
    <row r="1" spans="1:30" ht="22.5" hidden="1" customHeight="1">
      <c r="R1" s="262"/>
      <c r="S1" s="262"/>
      <c r="AD1" s="1072" t="s">
        <v>14</v>
      </c>
    </row>
    <row r="2" spans="1:30" ht="14.25" hidden="1" customHeight="1">
      <c r="V2" s="262"/>
      <c r="AD2" s="1072">
        <v>0</v>
      </c>
    </row>
    <row r="3" spans="1:30" ht="14.25" hidden="1" customHeight="1">
      <c r="AD3" s="1072">
        <v>0</v>
      </c>
    </row>
    <row r="4" spans="1:30" ht="14.65" customHeight="1">
      <c r="J4" s="310"/>
      <c r="K4" s="310"/>
      <c r="L4" s="1192"/>
      <c r="M4" s="297"/>
      <c r="N4" s="297"/>
      <c r="O4" s="443"/>
      <c r="P4" s="443"/>
      <c r="Q4" s="443"/>
      <c r="R4" s="443"/>
      <c r="S4" s="443"/>
      <c r="T4" s="443"/>
      <c r="U4" s="443"/>
      <c r="V4" s="443"/>
      <c r="AD4" s="1072">
        <v>14</v>
      </c>
    </row>
    <row r="5" spans="1:30" ht="67.25" customHeight="1">
      <c r="J5" s="310"/>
      <c r="K5" s="310"/>
      <c r="L5" s="3467" t="s">
        <v>2260</v>
      </c>
      <c r="M5" s="3467"/>
      <c r="N5" s="3467"/>
      <c r="O5" s="3467"/>
      <c r="P5" s="3467"/>
      <c r="Q5" s="3467"/>
      <c r="R5" s="3467"/>
      <c r="S5" s="3467"/>
      <c r="T5" s="3467"/>
      <c r="U5" s="3467"/>
      <c r="V5" s="1160"/>
      <c r="AD5" s="1072">
        <v>64</v>
      </c>
    </row>
    <row r="6" spans="1:30" ht="14.65" customHeight="1">
      <c r="J6" s="310"/>
      <c r="K6" s="310"/>
      <c r="L6" s="3468" t="str">
        <f>IF(org=0,"Не определено",org)</f>
        <v>ООО "РСО"</v>
      </c>
      <c r="M6" s="3468"/>
      <c r="N6" s="3468"/>
      <c r="O6" s="3468"/>
      <c r="P6" s="3468"/>
      <c r="Q6" s="3468"/>
      <c r="R6" s="3468"/>
      <c r="S6" s="3468"/>
      <c r="T6" s="3468"/>
      <c r="U6" s="3468"/>
      <c r="V6" s="1160"/>
      <c r="AD6" s="1072">
        <v>14</v>
      </c>
    </row>
    <row r="7" spans="1:30" ht="14.65" customHeight="1">
      <c r="J7" s="310"/>
      <c r="K7" s="310"/>
      <c r="L7" s="1192"/>
      <c r="M7" s="297"/>
      <c r="N7" s="297"/>
      <c r="O7" s="257"/>
      <c r="P7" s="257"/>
      <c r="Q7" s="257"/>
      <c r="R7" s="257"/>
      <c r="S7" s="257"/>
      <c r="T7" s="257"/>
      <c r="U7" s="257"/>
      <c r="V7" s="257"/>
      <c r="W7" s="443"/>
      <c r="AD7" s="1072">
        <v>14</v>
      </c>
    </row>
    <row r="8" spans="1:30" s="2028" customFormat="1" ht="48.25" customHeight="1">
      <c r="A8" s="1285"/>
      <c r="B8" s="1285"/>
      <c r="C8" s="1285"/>
      <c r="D8" s="1285"/>
      <c r="E8" s="1285"/>
      <c r="F8" s="1285"/>
      <c r="G8" s="1285"/>
      <c r="H8" s="1285"/>
      <c r="L8" s="1193"/>
      <c r="M8" s="230" t="s">
        <v>42</v>
      </c>
      <c r="N8" s="239"/>
      <c r="O8" s="3192" t="str">
        <f>IF(TITLE_NAME_OR_PR_CHANGE="",IF(TITLE_NAME_OR_PR="","",TITLE_NAME_OR_PR),TITLE_NAME_OR_PR_CHANGE)</f>
        <v/>
      </c>
      <c r="P8" s="3192"/>
      <c r="Q8" s="3192"/>
      <c r="R8" s="3192"/>
      <c r="S8" s="3192"/>
      <c r="T8" s="3192"/>
      <c r="U8" s="3192"/>
      <c r="V8" s="261"/>
      <c r="W8" s="261"/>
      <c r="X8" s="215"/>
      <c r="Y8" s="302"/>
      <c r="Z8" s="302"/>
      <c r="AA8" s="302"/>
      <c r="AB8" s="302"/>
      <c r="AC8" s="302"/>
      <c r="AD8" s="352">
        <v>46</v>
      </c>
    </row>
    <row r="9" spans="1:30" s="2028" customFormat="1" ht="24" customHeight="1">
      <c r="A9" s="1285"/>
      <c r="B9" s="1285"/>
      <c r="C9" s="1285"/>
      <c r="D9" s="1285"/>
      <c r="E9" s="1285"/>
      <c r="F9" s="1285"/>
      <c r="G9" s="1285"/>
      <c r="H9" s="1285"/>
      <c r="L9" s="1193"/>
      <c r="M9" s="230" t="s">
        <v>455</v>
      </c>
      <c r="N9" s="239"/>
      <c r="O9" s="3192">
        <f>IF(TITLE_DATE_CHANGE_PERIOD="",IF(TITLE_DATE_PR="","",TITLE_DATE_PR),TITLE_DATE_CHANGE_PERIOD)</f>
        <v>46022</v>
      </c>
      <c r="P9" s="3192"/>
      <c r="Q9" s="3192"/>
      <c r="R9" s="3192"/>
      <c r="S9" s="3192"/>
      <c r="T9" s="3192"/>
      <c r="U9" s="3192"/>
      <c r="V9" s="261"/>
      <c r="W9" s="261"/>
      <c r="X9" s="215"/>
      <c r="Y9" s="302"/>
      <c r="Z9" s="302"/>
      <c r="AA9" s="302"/>
      <c r="AB9" s="302"/>
      <c r="AC9" s="302"/>
      <c r="AD9" s="352">
        <v>23</v>
      </c>
    </row>
    <row r="10" spans="1:30" s="2028" customFormat="1" ht="24" customHeight="1">
      <c r="A10" s="1285"/>
      <c r="B10" s="1285"/>
      <c r="C10" s="1285"/>
      <c r="D10" s="1285"/>
      <c r="E10" s="1285"/>
      <c r="F10" s="1285"/>
      <c r="G10" s="1285"/>
      <c r="H10" s="1285"/>
      <c r="L10" s="1167"/>
      <c r="M10" s="230" t="s">
        <v>456</v>
      </c>
      <c r="N10" s="239"/>
      <c r="O10" s="3192" t="str">
        <f>IF(TITLE_NUMBER_PR_CHANGE="",IF(TITLE_NUMBER_PR="","",TITLE_NUMBER_PR),TITLE_NUMBER_PR_CHANGE)</f>
        <v>04-24/132, 04-24/131</v>
      </c>
      <c r="P10" s="3192"/>
      <c r="Q10" s="3192"/>
      <c r="R10" s="3192"/>
      <c r="S10" s="3192"/>
      <c r="T10" s="3192"/>
      <c r="U10" s="3192"/>
      <c r="V10" s="261"/>
      <c r="W10" s="261"/>
      <c r="X10" s="215"/>
      <c r="Y10" s="302"/>
      <c r="Z10" s="302"/>
      <c r="AA10" s="302"/>
      <c r="AB10" s="302"/>
      <c r="AC10" s="302"/>
      <c r="AD10" s="352">
        <v>23</v>
      </c>
    </row>
    <row r="11" spans="1:30" s="2028" customFormat="1" ht="24" customHeight="1">
      <c r="A11" s="1285"/>
      <c r="B11" s="1285"/>
      <c r="C11" s="1285"/>
      <c r="D11" s="1285"/>
      <c r="E11" s="1285"/>
      <c r="F11" s="1285"/>
      <c r="G11" s="1285"/>
      <c r="H11" s="1285"/>
      <c r="L11" s="1167"/>
      <c r="M11" s="230" t="s">
        <v>43</v>
      </c>
      <c r="N11" s="239"/>
      <c r="O11" s="3192" t="str">
        <f>IF(TITLE_IST_PUB_CHANGE="",IF(TITLE_IST_PUB="","",TITLE_IST_PUB),TITLE_IST_PUB_CHANGE)</f>
        <v/>
      </c>
      <c r="P11" s="3192"/>
      <c r="Q11" s="3192"/>
      <c r="R11" s="3192"/>
      <c r="S11" s="3192"/>
      <c r="T11" s="3192"/>
      <c r="U11" s="3192"/>
      <c r="V11" s="261"/>
      <c r="W11" s="261"/>
      <c r="X11" s="215"/>
      <c r="Y11" s="302"/>
      <c r="Z11" s="302"/>
      <c r="AA11" s="302"/>
      <c r="AB11" s="302"/>
      <c r="AC11" s="302"/>
      <c r="AD11" s="352">
        <v>23</v>
      </c>
    </row>
    <row r="12" spans="1:30" s="2028" customFormat="1" ht="11.25" hidden="1" customHeight="1">
      <c r="A12" s="1285"/>
      <c r="B12" s="1285"/>
      <c r="C12" s="1285"/>
      <c r="D12" s="1285"/>
      <c r="E12" s="1285"/>
      <c r="F12" s="1285"/>
      <c r="G12" s="1285"/>
      <c r="H12" s="1285"/>
      <c r="L12" s="3469"/>
      <c r="M12" s="3469"/>
      <c r="N12" s="1204"/>
      <c r="O12" s="261"/>
      <c r="P12" s="261"/>
      <c r="Q12" s="261"/>
      <c r="R12" s="261"/>
      <c r="S12" s="261"/>
      <c r="T12" s="261"/>
      <c r="U12" s="261"/>
      <c r="V12" s="213" t="s">
        <v>459</v>
      </c>
      <c r="Y12" s="302"/>
      <c r="Z12" s="302"/>
      <c r="AA12" s="302"/>
      <c r="AB12" s="302"/>
      <c r="AC12" s="302"/>
      <c r="AD12" s="352">
        <v>0</v>
      </c>
    </row>
    <row r="13" spans="1:30" ht="14.65" customHeight="1">
      <c r="J13" s="310"/>
      <c r="K13" s="310"/>
      <c r="L13" s="1192"/>
      <c r="M13" s="297"/>
      <c r="N13" s="1161"/>
      <c r="O13" s="3193"/>
      <c r="P13" s="3193"/>
      <c r="Q13" s="3193"/>
      <c r="R13" s="3193"/>
      <c r="S13" s="3193"/>
      <c r="T13" s="3193"/>
      <c r="U13" s="3193"/>
      <c r="V13" s="3193"/>
      <c r="AD13" s="1072">
        <v>14</v>
      </c>
    </row>
    <row r="14" spans="1:30" ht="14.65" customHeight="1">
      <c r="J14" s="310"/>
      <c r="K14" s="310"/>
      <c r="L14" s="3067" t="s">
        <v>335</v>
      </c>
      <c r="M14" s="3067"/>
      <c r="N14" s="3067"/>
      <c r="O14" s="3067"/>
      <c r="P14" s="3067"/>
      <c r="Q14" s="3067"/>
      <c r="R14" s="3067"/>
      <c r="S14" s="3067"/>
      <c r="T14" s="3067"/>
      <c r="U14" s="3067"/>
      <c r="V14" s="3067"/>
      <c r="W14" s="3067"/>
      <c r="X14" s="3067" t="s">
        <v>336</v>
      </c>
      <c r="AD14" s="1072">
        <v>14</v>
      </c>
    </row>
    <row r="15" spans="1:30" ht="14.65" customHeight="1">
      <c r="J15" s="310"/>
      <c r="K15" s="310"/>
      <c r="L15" s="3207" t="s">
        <v>89</v>
      </c>
      <c r="M15" s="3159" t="s">
        <v>460</v>
      </c>
      <c r="N15" s="236"/>
      <c r="O15" s="3208" t="s">
        <v>2261</v>
      </c>
      <c r="P15" s="3209"/>
      <c r="Q15" s="3209"/>
      <c r="R15" s="3209"/>
      <c r="S15" s="3209"/>
      <c r="T15" s="3209"/>
      <c r="U15" s="3210"/>
      <c r="V15" s="3211" t="s">
        <v>462</v>
      </c>
      <c r="W15" s="3214" t="s">
        <v>1177</v>
      </c>
      <c r="X15" s="3067"/>
      <c r="AD15" s="1072">
        <v>14</v>
      </c>
    </row>
    <row r="16" spans="1:30" ht="35.65" customHeight="1">
      <c r="J16" s="310"/>
      <c r="K16" s="310"/>
      <c r="L16" s="3207"/>
      <c r="M16" s="3159"/>
      <c r="N16" s="952"/>
      <c r="O16" s="3130" t="s">
        <v>465</v>
      </c>
      <c r="P16" s="3130" t="s">
        <v>466</v>
      </c>
      <c r="Q16" s="3038" t="s">
        <v>467</v>
      </c>
      <c r="R16" s="3037"/>
      <c r="S16" s="3038" t="s">
        <v>480</v>
      </c>
      <c r="T16" s="3044"/>
      <c r="U16" s="3037"/>
      <c r="V16" s="3212"/>
      <c r="W16" s="3215"/>
      <c r="X16" s="3067"/>
      <c r="AD16" s="1072">
        <v>34</v>
      </c>
    </row>
    <row r="17" spans="1:30" ht="35.65" customHeight="1">
      <c r="A17" s="1287" t="s">
        <v>148</v>
      </c>
      <c r="B17" s="1287" t="s">
        <v>149</v>
      </c>
      <c r="C17" s="1287" t="s">
        <v>150</v>
      </c>
      <c r="D17" s="1287" t="s">
        <v>151</v>
      </c>
      <c r="E17" s="1287"/>
      <c r="J17" s="310"/>
      <c r="K17" s="310"/>
      <c r="L17" s="3207"/>
      <c r="M17" s="3159"/>
      <c r="N17" s="237"/>
      <c r="O17" s="3178"/>
      <c r="P17" s="3178"/>
      <c r="Q17" s="1139" t="s">
        <v>476</v>
      </c>
      <c r="R17" s="1139" t="s">
        <v>477</v>
      </c>
      <c r="S17" s="1209" t="s">
        <v>478</v>
      </c>
      <c r="T17" s="3167" t="s">
        <v>479</v>
      </c>
      <c r="U17" s="3169"/>
      <c r="V17" s="3213"/>
      <c r="W17" s="3216"/>
      <c r="X17" s="3067"/>
      <c r="AD17" s="1072">
        <v>34</v>
      </c>
    </row>
    <row r="18" spans="1:30" s="2212" customFormat="1" ht="11.5" customHeight="1">
      <c r="A18" s="1287"/>
      <c r="B18" s="1287"/>
      <c r="C18" s="1287"/>
      <c r="D18" s="1287"/>
      <c r="E18" s="1287"/>
      <c r="F18" s="1279"/>
      <c r="G18" s="1279"/>
      <c r="H18" s="1279"/>
      <c r="I18" s="1163"/>
      <c r="J18" s="1164"/>
      <c r="K18" s="1171">
        <v>1</v>
      </c>
      <c r="L18" s="1194" t="s">
        <v>124</v>
      </c>
      <c r="M18" s="1172" t="s">
        <v>104</v>
      </c>
      <c r="N18" s="1162" t="str">
        <f ca="1">OFFSET(N18,0,-1)</f>
        <v>2</v>
      </c>
      <c r="O18" s="1206">
        <f ca="1">OFFSET(O18,0,-1)+1</f>
        <v>3</v>
      </c>
      <c r="P18" s="1206"/>
      <c r="Q18" s="1206">
        <f ca="1">OFFSET(Q18,0,-1)+1</f>
        <v>1</v>
      </c>
      <c r="R18" s="1206">
        <f ca="1">OFFSET(R18,0,-1)+1</f>
        <v>2</v>
      </c>
      <c r="S18" s="1206">
        <f ca="1">OFFSET(S18,0,-1)+1</f>
        <v>3</v>
      </c>
      <c r="T18" s="3206">
        <f ca="1">OFFSET(T18,0,-1)+1</f>
        <v>4</v>
      </c>
      <c r="U18" s="3206"/>
      <c r="V18" s="1206">
        <f ca="1">OFFSET(V18,0,-2)+1</f>
        <v>5</v>
      </c>
      <c r="W18" s="1162">
        <f ca="1">OFFSET(W18,0,-1)</f>
        <v>5</v>
      </c>
      <c r="X18" s="1206">
        <f ca="1">OFFSET(X18,0,-1)+1</f>
        <v>6</v>
      </c>
      <c r="Y18" s="445"/>
      <c r="Z18" s="445"/>
      <c r="AA18" s="445"/>
      <c r="AB18" s="445"/>
      <c r="AC18" s="445"/>
      <c r="AD18" s="430">
        <v>11</v>
      </c>
    </row>
    <row r="19" spans="1:30" ht="21" customHeight="1">
      <c r="A19" s="1280" t="s">
        <v>192</v>
      </c>
      <c r="B19" s="1280" t="s">
        <v>193</v>
      </c>
      <c r="C19" s="1280" t="s">
        <v>194</v>
      </c>
      <c r="D19" s="1280" t="s">
        <v>195</v>
      </c>
      <c r="E19" s="1280"/>
      <c r="F19" s="1282"/>
      <c r="G19" s="1282"/>
      <c r="H19" s="1282"/>
      <c r="I19" s="295"/>
      <c r="J19" s="294"/>
      <c r="K19" s="289"/>
      <c r="L19" s="1210">
        <f>INDEX(PT_DIFFERENTIATION_NUM_NTAR,MATCH(A19,PT_DIFFERENTIATION_NTAR_ID,0))</f>
        <v>1</v>
      </c>
      <c r="M19" s="233" t="s">
        <v>137</v>
      </c>
      <c r="N19" s="235"/>
      <c r="O19" s="3470" t="str">
        <f>INDEX(PT_DIFFERENTIATION_NTAR,MATCH(A19,PT_DIFFERENTIATION_NTAR_ID,0))</f>
        <v/>
      </c>
      <c r="P19" s="3470"/>
      <c r="Q19" s="3470"/>
      <c r="R19" s="3470"/>
      <c r="S19" s="3470"/>
      <c r="T19" s="3470"/>
      <c r="U19" s="3470"/>
      <c r="V19" s="3470"/>
      <c r="W19" s="3470"/>
      <c r="X19" s="1175" t="s">
        <v>431</v>
      </c>
      <c r="Z19" s="434"/>
      <c r="AA19" s="434" t="str">
        <f t="shared" ref="AA19:AA32" si="0">IF(M19="","",M19)</f>
        <v>Наименование тарифа</v>
      </c>
      <c r="AB19" s="434"/>
      <c r="AC19" s="434"/>
      <c r="AD19" s="1072">
        <v>20</v>
      </c>
    </row>
    <row r="20" spans="1:30" ht="21" customHeight="1">
      <c r="A20" s="1280" t="s">
        <v>192</v>
      </c>
      <c r="B20" s="1280" t="s">
        <v>193</v>
      </c>
      <c r="C20" s="1280" t="s">
        <v>194</v>
      </c>
      <c r="D20" s="1280" t="s">
        <v>195</v>
      </c>
      <c r="E20" s="1280"/>
      <c r="F20" s="1282"/>
      <c r="G20" s="1282"/>
      <c r="H20" s="1282"/>
      <c r="I20" s="1207"/>
      <c r="J20" s="286"/>
      <c r="K20" s="287"/>
      <c r="L20" s="1210" t="str">
        <f>INDEX(PT_DIFFERENTIATION_NUM_TER,MATCH(B19,PT_DIFFERENTIATION_TER_ID,0))</f>
        <v>1.1</v>
      </c>
      <c r="M20" s="243" t="s">
        <v>432</v>
      </c>
      <c r="N20" s="235"/>
      <c r="O20" s="3470" t="str">
        <f>INDEX(PT_DIFFERENTIATION_TER,MATCH(B19,PT_DIFFERENTIATION_TER_ID,0))</f>
        <v>Территория 1</v>
      </c>
      <c r="P20" s="3470"/>
      <c r="Q20" s="3470"/>
      <c r="R20" s="3470"/>
      <c r="S20" s="3470"/>
      <c r="T20" s="3470"/>
      <c r="U20" s="3470"/>
      <c r="V20" s="3470"/>
      <c r="W20" s="3470"/>
      <c r="X20" s="1175" t="s">
        <v>433</v>
      </c>
      <c r="Z20" s="434"/>
      <c r="AA20" s="434" t="str">
        <f t="shared" si="0"/>
        <v>Территория действия тарифа</v>
      </c>
      <c r="AB20" s="434"/>
      <c r="AC20" s="434"/>
      <c r="AD20" s="1072">
        <v>20</v>
      </c>
    </row>
    <row r="21" spans="1:30" ht="24" customHeight="1">
      <c r="A21" s="1280" t="s">
        <v>192</v>
      </c>
      <c r="B21" s="1280" t="s">
        <v>193</v>
      </c>
      <c r="C21" s="1280" t="s">
        <v>194</v>
      </c>
      <c r="D21" s="1280" t="s">
        <v>195</v>
      </c>
      <c r="E21" s="1280"/>
      <c r="F21" s="1282"/>
      <c r="G21" s="1282"/>
      <c r="H21" s="1282"/>
      <c r="I21" s="288"/>
      <c r="J21" s="286"/>
      <c r="K21" s="287"/>
      <c r="L21" s="1210" t="str">
        <f>INDEX(PT_DIFFERENTIATION_NUM_CS,MATCH(C19,PT_DIFFERENTIATION_CS_ID,0))</f>
        <v>1.1.1</v>
      </c>
      <c r="M21" s="244" t="s">
        <v>434</v>
      </c>
      <c r="N21" s="235"/>
      <c r="O21" s="3470" t="str">
        <f>INDEX(PT_DIFFERENTIATION_CS,MATCH(C19,PT_DIFFERENTIATION_CS_ID,0))</f>
        <v>без дифференциации</v>
      </c>
      <c r="P21" s="3470"/>
      <c r="Q21" s="3470"/>
      <c r="R21" s="3470"/>
      <c r="S21" s="3470"/>
      <c r="T21" s="3470"/>
      <c r="U21" s="3470"/>
      <c r="V21" s="3470"/>
      <c r="W21" s="3470"/>
      <c r="X21" s="1175" t="s">
        <v>435</v>
      </c>
      <c r="Z21" s="434"/>
      <c r="AA21" s="434" t="str">
        <f t="shared" si="0"/>
        <v xml:space="preserve">Наименование системы теплоснабжения </v>
      </c>
      <c r="AB21" s="434"/>
      <c r="AC21" s="434"/>
      <c r="AD21" s="1072">
        <v>23</v>
      </c>
    </row>
    <row r="22" spans="1:30" ht="21" customHeight="1">
      <c r="A22" s="1280" t="s">
        <v>192</v>
      </c>
      <c r="B22" s="1280" t="s">
        <v>193</v>
      </c>
      <c r="C22" s="1280" t="s">
        <v>194</v>
      </c>
      <c r="D22" s="1280" t="s">
        <v>195</v>
      </c>
      <c r="E22" s="1280"/>
      <c r="F22" s="1282"/>
      <c r="G22" s="1282"/>
      <c r="H22" s="1282"/>
      <c r="I22" s="288"/>
      <c r="J22" s="286"/>
      <c r="K22" s="287"/>
      <c r="L22" s="1210" t="str">
        <f>INDEX(PT_DIFFERENTIATION_NUM_IST_TE,MATCH(D19,PT_DIFFERENTIATION_IST_TE_ID,0))</f>
        <v>1.1.1.1</v>
      </c>
      <c r="M22" s="245" t="s">
        <v>436</v>
      </c>
      <c r="N22" s="235"/>
      <c r="O22" s="3470" t="str">
        <f>INDEX(PT_DIFFERENTIATION_IST_TE,MATCH(D19,PT_DIFFERENTIATION_IST_TE_ID,0))</f>
        <v>без дифференциации</v>
      </c>
      <c r="P22" s="3470"/>
      <c r="Q22" s="3470"/>
      <c r="R22" s="3470"/>
      <c r="S22" s="3470"/>
      <c r="T22" s="3470"/>
      <c r="U22" s="3470"/>
      <c r="V22" s="3470"/>
      <c r="W22" s="3470"/>
      <c r="X22" s="1175" t="s">
        <v>437</v>
      </c>
      <c r="Z22" s="434"/>
      <c r="AA22" s="434" t="str">
        <f t="shared" si="0"/>
        <v xml:space="preserve">Источник тепловой энергии  </v>
      </c>
      <c r="AB22" s="434"/>
      <c r="AC22" s="434"/>
      <c r="AD22" s="1072">
        <v>20</v>
      </c>
    </row>
    <row r="23" spans="1:30" ht="96.75" customHeight="1">
      <c r="A23" s="1280" t="s">
        <v>192</v>
      </c>
      <c r="B23" s="1280" t="s">
        <v>193</v>
      </c>
      <c r="C23" s="1280" t="s">
        <v>194</v>
      </c>
      <c r="D23" s="1280" t="s">
        <v>195</v>
      </c>
      <c r="E23" s="1280"/>
      <c r="F23" s="3041" t="str">
        <f>L22&amp;".1"</f>
        <v>1.1.1.1.1</v>
      </c>
      <c r="I23" s="3198">
        <v>1</v>
      </c>
      <c r="J23" s="1208"/>
      <c r="K23" s="290"/>
      <c r="L23" s="1210" t="str">
        <f>$F$23</f>
        <v>1.1.1.1.1</v>
      </c>
      <c r="M23" s="220" t="s">
        <v>439</v>
      </c>
      <c r="N23" s="235"/>
      <c r="O23" s="3237"/>
      <c r="P23" s="3237"/>
      <c r="Q23" s="3237"/>
      <c r="R23" s="3237"/>
      <c r="S23" s="3237"/>
      <c r="T23" s="3237"/>
      <c r="U23" s="3237"/>
      <c r="V23" s="3237"/>
      <c r="W23" s="3237"/>
      <c r="X23" s="1175" t="s">
        <v>440</v>
      </c>
      <c r="Z23" s="434"/>
      <c r="AA23" s="434" t="str">
        <f t="shared" si="0"/>
        <v>Схема подключения теплопотребляющей установки к коллектору источника тепловой энергии</v>
      </c>
      <c r="AB23" s="434"/>
      <c r="AC23" s="434"/>
      <c r="AD23" s="1072">
        <v>92</v>
      </c>
    </row>
    <row r="24" spans="1:30" ht="86.25" customHeight="1">
      <c r="A24" s="1280" t="s">
        <v>192</v>
      </c>
      <c r="B24" s="1280" t="s">
        <v>193</v>
      </c>
      <c r="C24" s="1280" t="s">
        <v>194</v>
      </c>
      <c r="D24" s="1280" t="s">
        <v>195</v>
      </c>
      <c r="E24" s="1280"/>
      <c r="F24" s="3041"/>
      <c r="G24" s="3041" t="str">
        <f>F23&amp;".1"</f>
        <v>1.1.1.1.1.1</v>
      </c>
      <c r="I24" s="3198"/>
      <c r="J24" s="3198">
        <v>1</v>
      </c>
      <c r="K24" s="291"/>
      <c r="L24" s="1210" t="str">
        <f>$G$24</f>
        <v>1.1.1.1.1.1</v>
      </c>
      <c r="M24" s="221" t="s">
        <v>442</v>
      </c>
      <c r="N24" s="235"/>
      <c r="O24" s="3188"/>
      <c r="P24" s="3189"/>
      <c r="Q24" s="3189"/>
      <c r="R24" s="3189"/>
      <c r="S24" s="3189"/>
      <c r="T24" s="3189"/>
      <c r="U24" s="3189"/>
      <c r="V24" s="3189"/>
      <c r="W24" s="3190"/>
      <c r="X24" s="1175" t="s">
        <v>443</v>
      </c>
      <c r="Z24" s="434"/>
      <c r="AA24" s="434" t="str">
        <f t="shared" si="0"/>
        <v>Группа потребителей</v>
      </c>
      <c r="AB24" s="434"/>
      <c r="AC24" s="434"/>
      <c r="AD24" s="1072">
        <v>82</v>
      </c>
    </row>
    <row r="25" spans="1:30" ht="11.5" customHeight="1">
      <c r="A25" s="1280" t="s">
        <v>192</v>
      </c>
      <c r="B25" s="1280" t="s">
        <v>193</v>
      </c>
      <c r="C25" s="1280" t="s">
        <v>194</v>
      </c>
      <c r="D25" s="1280" t="s">
        <v>195</v>
      </c>
      <c r="E25" s="1280"/>
      <c r="F25" s="3041"/>
      <c r="G25" s="3041"/>
      <c r="H25" s="3041" t="str">
        <f>G24&amp;".1"</f>
        <v>1.1.1.1.1.1.1</v>
      </c>
      <c r="I25" s="3198"/>
      <c r="J25" s="3198"/>
      <c r="K25" s="291">
        <v>1</v>
      </c>
      <c r="L25" s="1210" t="str">
        <f>$H$25</f>
        <v>1.1.1.1.1.1.1</v>
      </c>
      <c r="M25" s="1264"/>
      <c r="N25" s="235"/>
      <c r="O25" s="685"/>
      <c r="P25" s="260"/>
      <c r="Q25" s="685"/>
      <c r="R25" s="1174"/>
      <c r="S25" s="3202"/>
      <c r="T25" s="3048" t="s">
        <v>67</v>
      </c>
      <c r="U25" s="3202"/>
      <c r="V25" s="3048" t="s">
        <v>19</v>
      </c>
      <c r="W25" s="260"/>
      <c r="X25" s="3194" t="s">
        <v>445</v>
      </c>
      <c r="Y25" s="445" t="e">
        <f ca="1">STRCHECKDATE(O26:W26)</f>
        <v>#NAME?</v>
      </c>
      <c r="Z25" s="434"/>
      <c r="AA25" s="434" t="str">
        <f t="shared" si="0"/>
        <v/>
      </c>
      <c r="AB25" s="434"/>
      <c r="AC25" s="434"/>
      <c r="AD25" s="1072">
        <v>11</v>
      </c>
    </row>
    <row r="26" spans="1:30" ht="11.5" customHeight="1">
      <c r="A26" s="1280" t="s">
        <v>192</v>
      </c>
      <c r="B26" s="1280" t="s">
        <v>193</v>
      </c>
      <c r="C26" s="1280" t="s">
        <v>194</v>
      </c>
      <c r="D26" s="1280" t="s">
        <v>195</v>
      </c>
      <c r="E26" s="1280"/>
      <c r="F26" s="3041"/>
      <c r="G26" s="3041"/>
      <c r="H26" s="3041"/>
      <c r="I26" s="3198"/>
      <c r="J26" s="3198"/>
      <c r="K26" s="291"/>
      <c r="L26" s="1211"/>
      <c r="M26" s="235"/>
      <c r="N26" s="235"/>
      <c r="O26" s="260"/>
      <c r="P26" s="260"/>
      <c r="Q26" s="260"/>
      <c r="R26" s="263" t="str">
        <f>S25&amp;"-"&amp;U25</f>
        <v>-</v>
      </c>
      <c r="S26" s="3203"/>
      <c r="T26" s="3048"/>
      <c r="U26" s="3203"/>
      <c r="V26" s="3048"/>
      <c r="W26" s="260"/>
      <c r="X26" s="3195"/>
      <c r="Z26" s="434"/>
      <c r="AA26" s="434" t="str">
        <f t="shared" si="0"/>
        <v/>
      </c>
      <c r="AB26" s="434"/>
      <c r="AC26" s="434"/>
      <c r="AD26" s="1072">
        <v>11</v>
      </c>
    </row>
    <row r="27" spans="1:30" ht="15.75" customHeight="1">
      <c r="A27" s="1280" t="s">
        <v>192</v>
      </c>
      <c r="B27" s="1280" t="s">
        <v>193</v>
      </c>
      <c r="C27" s="1280" t="s">
        <v>194</v>
      </c>
      <c r="D27" s="1280" t="s">
        <v>195</v>
      </c>
      <c r="E27" s="1280"/>
      <c r="F27" s="3041"/>
      <c r="G27" s="3041"/>
      <c r="I27" s="3198"/>
      <c r="J27" s="3198"/>
      <c r="K27" s="290"/>
      <c r="L27" s="1195"/>
      <c r="M27" s="223" t="s">
        <v>446</v>
      </c>
      <c r="N27" s="301"/>
      <c r="O27" s="301"/>
      <c r="P27" s="301"/>
      <c r="Q27" s="301"/>
      <c r="R27" s="301"/>
      <c r="S27" s="301"/>
      <c r="T27" s="301"/>
      <c r="U27" s="301"/>
      <c r="V27" s="301"/>
      <c r="W27" s="259"/>
      <c r="X27" s="3196"/>
      <c r="Z27" s="434"/>
      <c r="AA27" s="434" t="str">
        <f t="shared" si="0"/>
        <v>Добавить вид теплоносителя (параметры теплоносителя)</v>
      </c>
      <c r="AB27" s="434"/>
      <c r="AC27" s="434"/>
      <c r="AD27" s="1072">
        <v>15</v>
      </c>
    </row>
    <row r="28" spans="1:30" ht="15.75" customHeight="1">
      <c r="A28" s="1280" t="s">
        <v>192</v>
      </c>
      <c r="B28" s="1280" t="s">
        <v>193</v>
      </c>
      <c r="C28" s="1280" t="s">
        <v>194</v>
      </c>
      <c r="D28" s="1280" t="s">
        <v>195</v>
      </c>
      <c r="E28" s="1280"/>
      <c r="F28" s="3041"/>
      <c r="I28" s="3198"/>
      <c r="J28" s="1208"/>
      <c r="K28" s="290"/>
      <c r="L28" s="1195"/>
      <c r="M28" s="222" t="s">
        <v>447</v>
      </c>
      <c r="N28" s="301"/>
      <c r="O28" s="301"/>
      <c r="P28" s="301"/>
      <c r="Q28" s="301"/>
      <c r="R28" s="301"/>
      <c r="S28" s="301"/>
      <c r="T28" s="301"/>
      <c r="U28" s="301"/>
      <c r="V28" s="300"/>
      <c r="W28" s="301"/>
      <c r="X28" s="238"/>
      <c r="Z28" s="434"/>
      <c r="AA28" s="434" t="str">
        <f t="shared" si="0"/>
        <v>Добавить группу потребителей</v>
      </c>
      <c r="AB28" s="434"/>
      <c r="AC28" s="434"/>
      <c r="AD28" s="1072">
        <v>15</v>
      </c>
    </row>
    <row r="29" spans="1:30" ht="14.65" customHeight="1">
      <c r="A29" s="1280" t="s">
        <v>192</v>
      </c>
      <c r="B29" s="1280" t="s">
        <v>193</v>
      </c>
      <c r="C29" s="1280" t="s">
        <v>194</v>
      </c>
      <c r="D29" s="1280" t="s">
        <v>195</v>
      </c>
      <c r="E29" s="1280"/>
      <c r="F29" s="1282"/>
      <c r="G29" s="1282"/>
      <c r="H29" s="471"/>
      <c r="I29" s="294"/>
      <c r="J29" s="309"/>
      <c r="K29" s="289"/>
      <c r="L29" s="1195"/>
      <c r="M29" s="299" t="s">
        <v>448</v>
      </c>
      <c r="N29" s="301"/>
      <c r="O29" s="301"/>
      <c r="P29" s="301"/>
      <c r="Q29" s="301"/>
      <c r="R29" s="301"/>
      <c r="S29" s="301"/>
      <c r="T29" s="301"/>
      <c r="U29" s="301"/>
      <c r="V29" s="300"/>
      <c r="W29" s="301"/>
      <c r="X29" s="238"/>
      <c r="Z29" s="434"/>
      <c r="AA29" s="434" t="str">
        <f t="shared" si="0"/>
        <v>Добавить схему подключения</v>
      </c>
      <c r="AB29" s="434"/>
      <c r="AC29" s="434"/>
      <c r="AD29" s="1072">
        <v>14</v>
      </c>
    </row>
    <row r="30" spans="1:30" ht="14.65" customHeight="1">
      <c r="A30" s="1280" t="s">
        <v>192</v>
      </c>
      <c r="B30" s="1280" t="s">
        <v>193</v>
      </c>
      <c r="C30" s="1280" t="s">
        <v>194</v>
      </c>
      <c r="D30" s="1280"/>
      <c r="E30" s="1280" t="s">
        <v>619</v>
      </c>
      <c r="F30" s="1282"/>
      <c r="G30" s="1282"/>
      <c r="H30" s="471"/>
      <c r="I30" s="294"/>
      <c r="J30" s="309"/>
      <c r="K30" s="289"/>
      <c r="L30" s="1196"/>
      <c r="M30" s="1185"/>
      <c r="N30" s="1186"/>
      <c r="O30" s="1186"/>
      <c r="P30" s="1186"/>
      <c r="Q30" s="1186"/>
      <c r="R30" s="1186"/>
      <c r="S30" s="1186"/>
      <c r="T30" s="1186"/>
      <c r="U30" s="1186"/>
      <c r="V30" s="1187"/>
      <c r="W30" s="1186"/>
      <c r="X30" s="1188"/>
      <c r="Z30" s="434"/>
      <c r="AA30" s="434" t="str">
        <f t="shared" si="0"/>
        <v/>
      </c>
      <c r="AB30" s="434"/>
      <c r="AC30" s="434"/>
      <c r="AD30" s="1072">
        <v>14</v>
      </c>
    </row>
    <row r="31" spans="1:30" ht="14.65" customHeight="1">
      <c r="A31" s="1280" t="s">
        <v>192</v>
      </c>
      <c r="B31" s="1280" t="s">
        <v>193</v>
      </c>
      <c r="C31" s="1280"/>
      <c r="D31" s="1280"/>
      <c r="E31" s="1280" t="s">
        <v>2262</v>
      </c>
      <c r="F31" s="1434"/>
      <c r="G31" s="1434"/>
      <c r="H31" s="471"/>
      <c r="I31" s="292"/>
      <c r="J31" s="309"/>
      <c r="K31" s="293"/>
      <c r="L31" s="1196"/>
      <c r="M31" s="1189"/>
      <c r="N31" s="1186"/>
      <c r="O31" s="1186"/>
      <c r="P31" s="1186"/>
      <c r="Q31" s="1186"/>
      <c r="R31" s="1186"/>
      <c r="S31" s="1186"/>
      <c r="T31" s="1186"/>
      <c r="U31" s="1186"/>
      <c r="V31" s="1187"/>
      <c r="W31" s="1186"/>
      <c r="X31" s="1188"/>
      <c r="Z31" s="434"/>
      <c r="AA31" s="434" t="str">
        <f t="shared" si="0"/>
        <v/>
      </c>
      <c r="AB31" s="434"/>
      <c r="AC31" s="434"/>
      <c r="AD31" s="1072">
        <v>14</v>
      </c>
    </row>
    <row r="32" spans="1:30" ht="14.65" customHeight="1">
      <c r="A32" s="1280" t="s">
        <v>2263</v>
      </c>
      <c r="B32" s="1280"/>
      <c r="C32" s="1280"/>
      <c r="D32" s="1280"/>
      <c r="E32" s="1280" t="s">
        <v>119</v>
      </c>
      <c r="F32" s="1434"/>
      <c r="G32" s="1434"/>
      <c r="H32" s="471"/>
      <c r="I32" s="294"/>
      <c r="J32" s="309"/>
      <c r="K32" s="289"/>
      <c r="L32" s="1196"/>
      <c r="M32" s="1190"/>
      <c r="N32" s="1186"/>
      <c r="O32" s="1186"/>
      <c r="P32" s="1186"/>
      <c r="Q32" s="1186"/>
      <c r="R32" s="1186"/>
      <c r="S32" s="1186"/>
      <c r="T32" s="1186"/>
      <c r="U32" s="1186"/>
      <c r="V32" s="1187"/>
      <c r="W32" s="1186"/>
      <c r="X32" s="1188"/>
      <c r="Z32" s="434"/>
      <c r="AA32" s="434" t="str">
        <f t="shared" si="0"/>
        <v/>
      </c>
      <c r="AB32" s="434"/>
      <c r="AC32" s="434"/>
      <c r="AD32" s="1072">
        <v>14</v>
      </c>
    </row>
    <row r="33" spans="1:30" s="2021" customFormat="1" ht="11.5" customHeight="1">
      <c r="A33" s="1280"/>
      <c r="B33" s="1280"/>
      <c r="C33" s="1280"/>
      <c r="D33" s="1280"/>
      <c r="E33" s="1280" t="s">
        <v>189</v>
      </c>
      <c r="F33" s="1435"/>
      <c r="G33" s="1436"/>
      <c r="H33" s="471"/>
      <c r="L33" s="1197"/>
      <c r="M33" s="1191"/>
      <c r="N33" s="1186"/>
      <c r="O33" s="1186"/>
      <c r="P33" s="1186"/>
      <c r="Q33" s="1186"/>
      <c r="R33" s="1186"/>
      <c r="S33" s="1186"/>
      <c r="T33" s="1186"/>
      <c r="U33" s="1186"/>
      <c r="V33" s="1187"/>
      <c r="W33" s="1186"/>
      <c r="X33" s="1188"/>
      <c r="Y33" s="313"/>
      <c r="Z33" s="313"/>
      <c r="AA33" s="313"/>
      <c r="AB33" s="313"/>
      <c r="AC33" s="313"/>
      <c r="AD33" s="307">
        <v>11</v>
      </c>
    </row>
    <row r="34" spans="1:30" ht="11.5" customHeight="1">
      <c r="F34" s="1077"/>
      <c r="G34" s="1077"/>
      <c r="H34" s="471"/>
      <c r="I34" s="1072"/>
      <c r="J34" s="1072"/>
      <c r="K34" s="1072"/>
      <c r="Y34" s="1072"/>
      <c r="Z34" s="1072"/>
      <c r="AA34" s="1072"/>
      <c r="AB34" s="1072"/>
      <c r="AC34" s="1072"/>
      <c r="AD34" s="1072">
        <v>11</v>
      </c>
    </row>
    <row r="35" spans="1:30" ht="28.5" customHeight="1">
      <c r="H35" s="471"/>
      <c r="L35" s="1205" t="s">
        <v>836</v>
      </c>
      <c r="M35" s="3219" t="s">
        <v>2264</v>
      </c>
      <c r="N35" s="3219"/>
      <c r="O35" s="3219"/>
      <c r="P35" s="3219"/>
      <c r="Q35" s="3219"/>
      <c r="R35" s="3219"/>
      <c r="S35" s="3219"/>
      <c r="T35" s="3219"/>
      <c r="U35" s="3219"/>
      <c r="V35" s="3219"/>
      <c r="W35" s="3219"/>
      <c r="X35" s="3219"/>
      <c r="AD35" s="1072">
        <v>27</v>
      </c>
    </row>
    <row r="36" spans="1:30" ht="109.25" customHeight="1">
      <c r="H36" s="471"/>
      <c r="I36" s="1220"/>
      <c r="M36" s="3219" t="s">
        <v>2265</v>
      </c>
      <c r="N36" s="3219"/>
      <c r="O36" s="3219"/>
      <c r="P36" s="3219"/>
      <c r="Q36" s="3219"/>
      <c r="R36" s="3219"/>
      <c r="S36" s="3219"/>
      <c r="T36" s="3219"/>
      <c r="U36" s="3219"/>
      <c r="V36" s="3219"/>
      <c r="W36" s="3219"/>
      <c r="X36" s="3219"/>
      <c r="AD36" s="1072">
        <v>104</v>
      </c>
    </row>
    <row r="37" spans="1:30" ht="14.65" customHeight="1">
      <c r="H37" s="471"/>
      <c r="AD37" s="1072">
        <v>14</v>
      </c>
    </row>
    <row r="38" spans="1:30" ht="14.65" customHeight="1">
      <c r="H38" s="471"/>
      <c r="AD38" s="1072">
        <v>14</v>
      </c>
    </row>
    <row r="39" spans="1:30" ht="14.65" customHeight="1">
      <c r="H39" s="471"/>
      <c r="AD39" s="1072">
        <v>14</v>
      </c>
    </row>
    <row r="40" spans="1:30" ht="14.65" customHeight="1">
      <c r="H40" s="471"/>
      <c r="AD40" s="1072">
        <v>14</v>
      </c>
    </row>
    <row r="41" spans="1:30" ht="22.5" hidden="1" customHeight="1">
      <c r="A41" s="1077" t="s">
        <v>83</v>
      </c>
      <c r="B41" s="1077">
        <v>0</v>
      </c>
      <c r="C41" s="1077">
        <v>0</v>
      </c>
      <c r="D41" s="1077">
        <v>0</v>
      </c>
      <c r="E41" s="1077">
        <v>0</v>
      </c>
      <c r="F41" s="1279">
        <v>0</v>
      </c>
      <c r="G41" s="1279">
        <v>0</v>
      </c>
      <c r="H41" s="1279">
        <v>0</v>
      </c>
      <c r="I41" s="1203">
        <v>3</v>
      </c>
      <c r="J41" s="279">
        <v>3</v>
      </c>
      <c r="K41" s="279">
        <v>3</v>
      </c>
      <c r="L41" s="515">
        <v>12</v>
      </c>
      <c r="M41" s="1072">
        <v>31</v>
      </c>
      <c r="N41" s="1072">
        <v>1</v>
      </c>
      <c r="O41" s="1072">
        <v>24</v>
      </c>
      <c r="P41" s="1072">
        <v>24</v>
      </c>
      <c r="Q41" s="1072">
        <v>24</v>
      </c>
      <c r="R41" s="1072">
        <v>24</v>
      </c>
      <c r="S41" s="1072">
        <v>11</v>
      </c>
      <c r="T41" s="1072">
        <v>3</v>
      </c>
      <c r="U41" s="1072">
        <v>11</v>
      </c>
      <c r="V41" s="1072">
        <v>8</v>
      </c>
      <c r="W41" s="1072">
        <v>4</v>
      </c>
      <c r="X41" s="1072">
        <v>115</v>
      </c>
      <c r="Y41" s="445">
        <v>10</v>
      </c>
      <c r="Z41" s="445">
        <v>10</v>
      </c>
      <c r="AA41" s="445">
        <v>10</v>
      </c>
      <c r="AB41" s="445">
        <v>10</v>
      </c>
      <c r="AC41" s="445">
        <v>10</v>
      </c>
      <c r="AD41" s="1072">
        <v>23</v>
      </c>
    </row>
  </sheetData>
  <sheetProtection formatColumns="0" formatRows="0" insertRows="0" deleteColumns="0" deleteRows="0" sort="0" autoFilter="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xr:uid="{00000000-0002-0000-3F00-000000000000}">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xr:uid="{00000000-0002-0000-3F00-000001000000}">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xr:uid="{00000000-0002-0000-3F00-000002000000}">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xr:uid="{00000000-0002-0000-3F00-000003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xr:uid="{00000000-0002-0000-3F00-000004000000}"/>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xr:uid="{00000000-0002-0000-3F00-000005000000}"/>
    <dataValidation allowBlank="1" promptTitle="checkPeriodRange" sqref="R26 R65562 R131098 R196634 R262170 R327706 R393242 R458778 R524314 R589850 R655386 R720922 R786458 R851994 R917530 R983066" xr:uid="{00000000-0002-0000-3F00-000006000000}"/>
    <dataValidation allowBlank="1" sqref="L131099:X131105 L196635:X196641 L262171:X262177 L327707:X327713 L393243:X393249 L458779:X458785 L524315:X524321 L589851:X589857 L655387:X655393 L720923:X720929 L786459:X786465 L851995:X852001 L917531:X917537 L983067:X983073 L65563:X65569" xr:uid="{00000000-0002-0000-3F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DB6B6F-351F-D089-56A5-2BD4CA9B5BD8}">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4BF5E-5103-81DA-0791-C215C26979AF}">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D802DF-8AA1-81BE-2556-0A124122ABCF}">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464C84-43C2-93CD-3605-28FC01926BEF}">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0E6D7E-3D49-4A4F-7C5B-204C9FDF0A9A}">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9A43FC-C2D1-1D0B-5E77-043038545851}">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E8CB4-276B-A6B8-E667-5031C163DA1F}">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8DD93-C1FE-4971-0AEF-F3E384E7AAE3}">
  <sheetPr>
    <tabColor rgb="FFFFCC99"/>
  </sheetPr>
  <dimension ref="A1"/>
  <sheetViews>
    <sheetView showGridLines="0" workbookViewId="0"/>
  </sheetViews>
  <sheetFormatPr defaultRowHeight="11.25" customHeight="1"/>
  <sheetData>
    <row r="1" spans="1:1" ht="11.25" customHeight="1">
      <c r="A1" s="4"/>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55491-C6D4-49B5-C382-679516780E3B}">
  <dimension ref="A1:E8"/>
  <sheetViews>
    <sheetView showGridLines="0" workbookViewId="0"/>
  </sheetViews>
  <sheetFormatPr defaultRowHeight="11.25" customHeight="1"/>
  <cols>
    <col min="1" max="1" width="10.59765625" style="2025" customWidth="1"/>
    <col min="2" max="2" width="8.69921875" style="2025" customWidth="1"/>
    <col min="3" max="3" width="18.09765625" style="2025" customWidth="1"/>
    <col min="4" max="4" width="12.59765625" style="2025" customWidth="1"/>
  </cols>
  <sheetData>
    <row r="1" spans="1:5" ht="11.25" customHeight="1">
      <c r="A1" s="1989" t="s">
        <v>2266</v>
      </c>
      <c r="B1" s="1990" t="s">
        <v>2267</v>
      </c>
      <c r="C1" s="3471" t="s">
        <v>2268</v>
      </c>
      <c r="D1" s="3472"/>
      <c r="E1" s="764" t="s">
        <v>2269</v>
      </c>
    </row>
    <row r="2" spans="1:5" ht="11.25" customHeight="1">
      <c r="A2" s="1991"/>
      <c r="B2" s="697" t="s">
        <v>26</v>
      </c>
      <c r="C2" s="687"/>
      <c r="D2" s="696"/>
      <c r="E2" s="764"/>
    </row>
    <row r="3" spans="1:5" ht="11.25" customHeight="1">
      <c r="A3" s="1992"/>
      <c r="B3" s="1993" t="s">
        <v>33</v>
      </c>
      <c r="C3" s="687"/>
      <c r="D3" s="696"/>
      <c r="E3" s="764"/>
    </row>
    <row r="4" spans="1:5" ht="11.25" customHeight="1">
      <c r="A4" s="1994"/>
      <c r="B4" s="698" t="s">
        <v>1693</v>
      </c>
      <c r="C4" s="687"/>
      <c r="D4" s="696"/>
      <c r="E4" s="764"/>
    </row>
    <row r="5" spans="1:5" ht="11.25" customHeight="1">
      <c r="A5" s="1995"/>
      <c r="B5" s="698" t="s">
        <v>1687</v>
      </c>
      <c r="C5" s="1996" t="s">
        <v>2033</v>
      </c>
      <c r="D5" s="1997" t="s">
        <v>2270</v>
      </c>
      <c r="E5" s="764"/>
    </row>
    <row r="6" spans="1:5" s="2021" customFormat="1" ht="11.25" customHeight="1">
      <c r="A6" s="1998"/>
      <c r="B6" s="698" t="s">
        <v>1696</v>
      </c>
      <c r="C6" s="687"/>
      <c r="D6" s="696"/>
      <c r="E6" s="764"/>
    </row>
    <row r="7" spans="1:5" ht="11.25" customHeight="1">
      <c r="A7" s="1999"/>
      <c r="B7" s="698" t="s">
        <v>1703</v>
      </c>
      <c r="C7" s="687"/>
      <c r="D7" s="696"/>
      <c r="E7" s="764"/>
    </row>
    <row r="8" spans="1:5" ht="11.25" customHeight="1">
      <c r="A8" s="689"/>
      <c r="B8" s="698" t="s">
        <v>1699</v>
      </c>
      <c r="C8" s="687"/>
      <c r="D8" s="696"/>
      <c r="E8" s="764"/>
    </row>
  </sheetData>
  <sheetProtection formatColumns="0" formatRows="0" insertRows="0" deleteColumns="0" deleteRows="0" sort="0" autoFilter="0"/>
  <mergeCells count="1">
    <mergeCell ref="C1:D1"/>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202503-A45F-65C8-C421-876E1DB155FF}">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F68DBA-9ECC-A58C-78EE-C684598B0FEE}">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04CDE3-5A4F-EA28-48D7-983D30154DDF}">
  <sheetPr>
    <tabColor rgb="FFFFCC99"/>
  </sheetPr>
  <dimension ref="A1:I171"/>
  <sheetViews>
    <sheetView showGridLines="0" workbookViewId="0"/>
  </sheetViews>
  <sheetFormatPr defaultColWidth="9.09765625" defaultRowHeight="11.25" customHeight="1"/>
  <cols>
    <col min="1" max="2" width="9.09765625" style="2021"/>
    <col min="3" max="3" width="20.69921875" style="2021" customWidth="1"/>
    <col min="4" max="4" width="25.09765625" style="2021" customWidth="1"/>
    <col min="5" max="9" width="9.09765625" style="2021"/>
  </cols>
  <sheetData>
    <row r="1" spans="1:9" ht="11.25" customHeight="1">
      <c r="A1" s="6" t="s">
        <v>2271</v>
      </c>
      <c r="B1" s="6" t="s">
        <v>2272</v>
      </c>
      <c r="C1" s="6" t="s">
        <v>2273</v>
      </c>
      <c r="D1" s="6" t="s">
        <v>2274</v>
      </c>
      <c r="E1" s="6" t="s">
        <v>2275</v>
      </c>
      <c r="F1" s="6" t="s">
        <v>2276</v>
      </c>
      <c r="G1" s="6" t="s">
        <v>2277</v>
      </c>
      <c r="H1" s="6" t="s">
        <v>2278</v>
      </c>
      <c r="I1" s="6" t="s">
        <v>2279</v>
      </c>
    </row>
    <row r="2" spans="1:9" ht="11.25" customHeight="1">
      <c r="A2" s="3015" t="s">
        <v>2280</v>
      </c>
      <c r="B2" s="3015" t="s">
        <v>16</v>
      </c>
      <c r="C2" s="3015" t="s">
        <v>2281</v>
      </c>
      <c r="D2" s="3015" t="s">
        <v>2282</v>
      </c>
      <c r="E2" s="3015" t="s">
        <v>2283</v>
      </c>
      <c r="F2" s="3015" t="s">
        <v>2284</v>
      </c>
      <c r="G2" s="3015" t="s">
        <v>2285</v>
      </c>
      <c r="H2" s="3015" t="s">
        <v>28</v>
      </c>
      <c r="I2" s="3015" t="s">
        <v>840</v>
      </c>
    </row>
    <row r="3" spans="1:9" ht="11.25" customHeight="1">
      <c r="A3" s="3015" t="s">
        <v>2280</v>
      </c>
      <c r="B3" s="3015" t="s">
        <v>16</v>
      </c>
      <c r="C3" s="3015" t="s">
        <v>2286</v>
      </c>
      <c r="D3" s="3015" t="s">
        <v>2287</v>
      </c>
      <c r="E3" s="3015" t="s">
        <v>2288</v>
      </c>
      <c r="F3" s="3015" t="s">
        <v>2289</v>
      </c>
      <c r="G3" s="3015" t="s">
        <v>2290</v>
      </c>
      <c r="H3" s="3015" t="s">
        <v>28</v>
      </c>
      <c r="I3" s="3015" t="s">
        <v>840</v>
      </c>
    </row>
    <row r="4" spans="1:9" ht="11.25" customHeight="1">
      <c r="A4" s="3015" t="s">
        <v>2280</v>
      </c>
      <c r="B4" s="3015" t="s">
        <v>16</v>
      </c>
      <c r="C4" s="3015" t="s">
        <v>2291</v>
      </c>
      <c r="D4" s="3015" t="s">
        <v>2292</v>
      </c>
      <c r="E4" s="3015" t="s">
        <v>2293</v>
      </c>
      <c r="F4" s="3015" t="s">
        <v>52</v>
      </c>
      <c r="G4" s="3015" t="s">
        <v>2294</v>
      </c>
      <c r="H4" s="3015" t="s">
        <v>28</v>
      </c>
      <c r="I4" s="3015" t="s">
        <v>840</v>
      </c>
    </row>
    <row r="5" spans="1:9" ht="11.25" customHeight="1">
      <c r="A5" s="3015" t="s">
        <v>2280</v>
      </c>
      <c r="B5" s="3015" t="s">
        <v>16</v>
      </c>
      <c r="C5" s="3015" t="s">
        <v>2295</v>
      </c>
      <c r="D5" s="3015" t="s">
        <v>2296</v>
      </c>
      <c r="E5" s="3015" t="s">
        <v>2297</v>
      </c>
      <c r="F5" s="3015" t="s">
        <v>2298</v>
      </c>
      <c r="G5" s="3015" t="s">
        <v>28</v>
      </c>
      <c r="H5" s="3015" t="s">
        <v>28</v>
      </c>
      <c r="I5" s="3015" t="s">
        <v>840</v>
      </c>
    </row>
    <row r="6" spans="1:9" ht="11.25" customHeight="1">
      <c r="A6" s="3015" t="s">
        <v>2280</v>
      </c>
      <c r="B6" s="3015" t="s">
        <v>16</v>
      </c>
      <c r="C6" s="3015" t="s">
        <v>2299</v>
      </c>
      <c r="D6" s="3015" t="s">
        <v>2300</v>
      </c>
      <c r="E6" s="3015" t="s">
        <v>2301</v>
      </c>
      <c r="F6" s="3015" t="s">
        <v>2302</v>
      </c>
      <c r="G6" s="3015" t="s">
        <v>2303</v>
      </c>
      <c r="H6" s="3015" t="s">
        <v>28</v>
      </c>
      <c r="I6" s="3015" t="s">
        <v>840</v>
      </c>
    </row>
    <row r="7" spans="1:9" ht="11.25" customHeight="1">
      <c r="A7" s="3015" t="s">
        <v>2280</v>
      </c>
      <c r="B7" s="3015" t="s">
        <v>16</v>
      </c>
      <c r="C7" s="3015" t="s">
        <v>2304</v>
      </c>
      <c r="D7" s="3015" t="s">
        <v>2305</v>
      </c>
      <c r="E7" s="3015" t="s">
        <v>2306</v>
      </c>
      <c r="F7" s="3015" t="s">
        <v>2307</v>
      </c>
      <c r="G7" s="3015" t="s">
        <v>2308</v>
      </c>
      <c r="H7" s="3015" t="s">
        <v>28</v>
      </c>
      <c r="I7" s="3015" t="s">
        <v>840</v>
      </c>
    </row>
    <row r="8" spans="1:9" ht="11.25" customHeight="1">
      <c r="A8" s="3015" t="s">
        <v>2280</v>
      </c>
      <c r="B8" s="3015" t="s">
        <v>16</v>
      </c>
      <c r="C8" s="3015" t="s">
        <v>2309</v>
      </c>
      <c r="D8" s="3015" t="s">
        <v>2310</v>
      </c>
      <c r="E8" s="3015" t="s">
        <v>2311</v>
      </c>
      <c r="F8" s="3015" t="s">
        <v>52</v>
      </c>
      <c r="G8" s="3015" t="s">
        <v>2312</v>
      </c>
      <c r="H8" s="3015" t="s">
        <v>28</v>
      </c>
      <c r="I8" s="3015" t="s">
        <v>840</v>
      </c>
    </row>
    <row r="9" spans="1:9" ht="11.25" customHeight="1">
      <c r="A9" s="3015" t="s">
        <v>2280</v>
      </c>
      <c r="B9" s="3015" t="s">
        <v>16</v>
      </c>
      <c r="C9" s="3015" t="s">
        <v>2313</v>
      </c>
      <c r="D9" s="3015" t="s">
        <v>2314</v>
      </c>
      <c r="E9" s="3015" t="s">
        <v>2315</v>
      </c>
      <c r="F9" s="3015" t="s">
        <v>2316</v>
      </c>
      <c r="G9" s="3015" t="s">
        <v>2317</v>
      </c>
      <c r="H9" s="3015" t="s">
        <v>28</v>
      </c>
      <c r="I9" s="3015" t="s">
        <v>840</v>
      </c>
    </row>
    <row r="10" spans="1:9" ht="11.25" customHeight="1">
      <c r="A10" s="3015" t="s">
        <v>2280</v>
      </c>
      <c r="B10" s="3015" t="s">
        <v>16</v>
      </c>
      <c r="C10" s="3015" t="s">
        <v>2318</v>
      </c>
      <c r="D10" s="3015" t="s">
        <v>2319</v>
      </c>
      <c r="E10" s="3015" t="s">
        <v>2320</v>
      </c>
      <c r="F10" s="3015" t="s">
        <v>52</v>
      </c>
      <c r="G10" s="3015" t="s">
        <v>28</v>
      </c>
      <c r="H10" s="3015" t="s">
        <v>28</v>
      </c>
      <c r="I10" s="3015" t="s">
        <v>840</v>
      </c>
    </row>
    <row r="11" spans="1:9" ht="11.25" customHeight="1">
      <c r="A11" s="3015" t="s">
        <v>2280</v>
      </c>
      <c r="B11" s="3015" t="s">
        <v>16</v>
      </c>
      <c r="C11" s="3015" t="s">
        <v>2321</v>
      </c>
      <c r="D11" s="3015" t="s">
        <v>2322</v>
      </c>
      <c r="E11" s="3015" t="s">
        <v>2323</v>
      </c>
      <c r="F11" s="3015" t="s">
        <v>52</v>
      </c>
      <c r="G11" s="3015" t="s">
        <v>2324</v>
      </c>
      <c r="H11" s="3015" t="s">
        <v>28</v>
      </c>
      <c r="I11" s="3015" t="s">
        <v>840</v>
      </c>
    </row>
    <row r="12" spans="1:9" ht="11.25" customHeight="1">
      <c r="A12" s="3015" t="s">
        <v>2280</v>
      </c>
      <c r="B12" s="3015" t="s">
        <v>16</v>
      </c>
      <c r="C12" s="3015" t="s">
        <v>2325</v>
      </c>
      <c r="D12" s="3015" t="s">
        <v>2326</v>
      </c>
      <c r="E12" s="3015" t="s">
        <v>2327</v>
      </c>
      <c r="F12" s="3015" t="s">
        <v>2328</v>
      </c>
      <c r="G12" s="3015" t="s">
        <v>2329</v>
      </c>
      <c r="H12" s="3015" t="s">
        <v>28</v>
      </c>
      <c r="I12" s="3015" t="s">
        <v>840</v>
      </c>
    </row>
    <row r="13" spans="1:9" ht="11.25" customHeight="1">
      <c r="A13" s="3015" t="s">
        <v>2280</v>
      </c>
      <c r="B13" s="3015" t="s">
        <v>16</v>
      </c>
      <c r="C13" s="3015" t="s">
        <v>2330</v>
      </c>
      <c r="D13" s="3015" t="s">
        <v>2331</v>
      </c>
      <c r="E13" s="3015" t="s">
        <v>2332</v>
      </c>
      <c r="F13" s="3015" t="s">
        <v>52</v>
      </c>
      <c r="G13" s="3015" t="s">
        <v>2333</v>
      </c>
      <c r="H13" s="3015" t="s">
        <v>28</v>
      </c>
      <c r="I13" s="3015" t="s">
        <v>840</v>
      </c>
    </row>
    <row r="14" spans="1:9" ht="11.25" customHeight="1">
      <c r="A14" s="3015" t="s">
        <v>2280</v>
      </c>
      <c r="B14" s="3015" t="s">
        <v>16</v>
      </c>
      <c r="C14" s="3015" t="s">
        <v>2334</v>
      </c>
      <c r="D14" s="3015" t="s">
        <v>2335</v>
      </c>
      <c r="E14" s="3015" t="s">
        <v>2336</v>
      </c>
      <c r="F14" s="3015" t="s">
        <v>2316</v>
      </c>
      <c r="G14" s="3015" t="s">
        <v>2337</v>
      </c>
      <c r="H14" s="3015" t="s">
        <v>28</v>
      </c>
      <c r="I14" s="3015" t="s">
        <v>840</v>
      </c>
    </row>
    <row r="15" spans="1:9" ht="11.25" customHeight="1">
      <c r="A15" s="3015" t="s">
        <v>2280</v>
      </c>
      <c r="B15" s="3015" t="s">
        <v>16</v>
      </c>
      <c r="C15" s="3015" t="s">
        <v>2338</v>
      </c>
      <c r="D15" s="3015" t="s">
        <v>2339</v>
      </c>
      <c r="E15" s="3015" t="s">
        <v>2340</v>
      </c>
      <c r="F15" s="3015" t="s">
        <v>2341</v>
      </c>
      <c r="G15" s="3015" t="s">
        <v>28</v>
      </c>
      <c r="H15" s="3015" t="s">
        <v>28</v>
      </c>
      <c r="I15" s="3015" t="s">
        <v>840</v>
      </c>
    </row>
    <row r="16" spans="1:9" ht="11.25" customHeight="1">
      <c r="A16" s="3015" t="s">
        <v>2280</v>
      </c>
      <c r="B16" s="3015" t="s">
        <v>16</v>
      </c>
      <c r="C16" s="3015" t="s">
        <v>2342</v>
      </c>
      <c r="D16" s="3015" t="s">
        <v>2343</v>
      </c>
      <c r="E16" s="3015" t="s">
        <v>2344</v>
      </c>
      <c r="F16" s="3015" t="s">
        <v>2345</v>
      </c>
      <c r="G16" s="3015" t="s">
        <v>2346</v>
      </c>
      <c r="H16" s="3015" t="s">
        <v>28</v>
      </c>
      <c r="I16" s="3015" t="s">
        <v>840</v>
      </c>
    </row>
    <row r="17" spans="1:9" ht="11.25" customHeight="1">
      <c r="A17" s="3015" t="s">
        <v>2280</v>
      </c>
      <c r="B17" s="3015" t="s">
        <v>16</v>
      </c>
      <c r="C17" s="3015" t="s">
        <v>2347</v>
      </c>
      <c r="D17" s="3015" t="s">
        <v>2348</v>
      </c>
      <c r="E17" s="3015" t="s">
        <v>2349</v>
      </c>
      <c r="F17" s="3015" t="s">
        <v>2316</v>
      </c>
      <c r="G17" s="3015" t="s">
        <v>28</v>
      </c>
      <c r="H17" s="3015" t="s">
        <v>28</v>
      </c>
      <c r="I17" s="3015" t="s">
        <v>840</v>
      </c>
    </row>
    <row r="18" spans="1:9" ht="11.25" customHeight="1">
      <c r="A18" s="3015" t="s">
        <v>2280</v>
      </c>
      <c r="B18" s="3015" t="s">
        <v>16</v>
      </c>
      <c r="C18" s="3015" t="s">
        <v>2350</v>
      </c>
      <c r="D18" s="3015" t="s">
        <v>2351</v>
      </c>
      <c r="E18" s="3015" t="s">
        <v>2352</v>
      </c>
      <c r="F18" s="3015" t="s">
        <v>52</v>
      </c>
      <c r="G18" s="3015" t="s">
        <v>2353</v>
      </c>
      <c r="H18" s="3015" t="s">
        <v>28</v>
      </c>
      <c r="I18" s="3015" t="s">
        <v>840</v>
      </c>
    </row>
    <row r="19" spans="1:9" ht="11.25" customHeight="1">
      <c r="A19" s="3015" t="s">
        <v>2280</v>
      </c>
      <c r="B19" s="3015" t="s">
        <v>16</v>
      </c>
      <c r="C19" s="3015" t="s">
        <v>2354</v>
      </c>
      <c r="D19" s="3015" t="s">
        <v>2355</v>
      </c>
      <c r="E19" s="3015" t="s">
        <v>2356</v>
      </c>
      <c r="F19" s="3015" t="s">
        <v>2357</v>
      </c>
      <c r="G19" s="3015" t="s">
        <v>2358</v>
      </c>
      <c r="H19" s="3015" t="s">
        <v>28</v>
      </c>
      <c r="I19" s="3015" t="s">
        <v>840</v>
      </c>
    </row>
    <row r="20" spans="1:9" ht="11.25" customHeight="1">
      <c r="A20" s="3015" t="s">
        <v>2280</v>
      </c>
      <c r="B20" s="3015" t="s">
        <v>16</v>
      </c>
      <c r="C20" s="3015" t="s">
        <v>2359</v>
      </c>
      <c r="D20" s="3015" t="s">
        <v>2360</v>
      </c>
      <c r="E20" s="3015" t="s">
        <v>2361</v>
      </c>
      <c r="F20" s="3015" t="s">
        <v>2316</v>
      </c>
      <c r="G20" s="3015" t="s">
        <v>28</v>
      </c>
      <c r="H20" s="3015" t="s">
        <v>28</v>
      </c>
      <c r="I20" s="3015" t="s">
        <v>840</v>
      </c>
    </row>
    <row r="21" spans="1:9" ht="11.25" customHeight="1">
      <c r="A21" s="3015" t="s">
        <v>2280</v>
      </c>
      <c r="B21" s="3015" t="s">
        <v>16</v>
      </c>
      <c r="C21" s="3015" t="s">
        <v>2362</v>
      </c>
      <c r="D21" s="3015" t="s">
        <v>2363</v>
      </c>
      <c r="E21" s="3015" t="s">
        <v>2364</v>
      </c>
      <c r="F21" s="3015" t="s">
        <v>2316</v>
      </c>
      <c r="G21" s="3015" t="s">
        <v>2365</v>
      </c>
      <c r="H21" s="3015" t="s">
        <v>28</v>
      </c>
      <c r="I21" s="3015" t="s">
        <v>840</v>
      </c>
    </row>
    <row r="22" spans="1:9" ht="11.25" customHeight="1">
      <c r="A22" s="3015" t="s">
        <v>2280</v>
      </c>
      <c r="B22" s="3015" t="s">
        <v>16</v>
      </c>
      <c r="C22" s="3015" t="s">
        <v>2366</v>
      </c>
      <c r="D22" s="3015" t="s">
        <v>2367</v>
      </c>
      <c r="E22" s="3015" t="s">
        <v>2368</v>
      </c>
      <c r="F22" s="3015" t="s">
        <v>2316</v>
      </c>
      <c r="G22" s="3015" t="s">
        <v>2369</v>
      </c>
      <c r="H22" s="3015" t="s">
        <v>28</v>
      </c>
      <c r="I22" s="3015" t="s">
        <v>840</v>
      </c>
    </row>
    <row r="23" spans="1:9" ht="11.25" customHeight="1">
      <c r="A23" s="3015" t="s">
        <v>2280</v>
      </c>
      <c r="B23" s="3015" t="s">
        <v>16</v>
      </c>
      <c r="C23" s="3015" t="s">
        <v>2370</v>
      </c>
      <c r="D23" s="3015" t="s">
        <v>2371</v>
      </c>
      <c r="E23" s="3015" t="s">
        <v>2372</v>
      </c>
      <c r="F23" s="3015" t="s">
        <v>52</v>
      </c>
      <c r="G23" s="3015" t="s">
        <v>2373</v>
      </c>
      <c r="H23" s="3015" t="s">
        <v>28</v>
      </c>
      <c r="I23" s="3015" t="s">
        <v>840</v>
      </c>
    </row>
    <row r="24" spans="1:9" ht="11.25" customHeight="1">
      <c r="A24" s="3015" t="s">
        <v>2280</v>
      </c>
      <c r="B24" s="3015" t="s">
        <v>16</v>
      </c>
      <c r="C24" s="3015" t="s">
        <v>2374</v>
      </c>
      <c r="D24" s="3015" t="s">
        <v>2375</v>
      </c>
      <c r="E24" s="3015" t="s">
        <v>2376</v>
      </c>
      <c r="F24" s="3015" t="s">
        <v>2357</v>
      </c>
      <c r="G24" s="3015" t="s">
        <v>2377</v>
      </c>
      <c r="H24" s="3015" t="s">
        <v>28</v>
      </c>
      <c r="I24" s="3015" t="s">
        <v>840</v>
      </c>
    </row>
    <row r="25" spans="1:9" ht="11.25" customHeight="1">
      <c r="A25" s="3015" t="s">
        <v>2280</v>
      </c>
      <c r="B25" s="3015" t="s">
        <v>16</v>
      </c>
      <c r="C25" s="3015" t="s">
        <v>2378</v>
      </c>
      <c r="D25" s="3015" t="s">
        <v>2379</v>
      </c>
      <c r="E25" s="3015" t="s">
        <v>2380</v>
      </c>
      <c r="F25" s="3015" t="s">
        <v>2316</v>
      </c>
      <c r="G25" s="3015" t="s">
        <v>2381</v>
      </c>
      <c r="H25" s="3015" t="s">
        <v>28</v>
      </c>
      <c r="I25" s="3015" t="s">
        <v>840</v>
      </c>
    </row>
    <row r="26" spans="1:9" ht="11.25" customHeight="1">
      <c r="A26" s="3015" t="s">
        <v>2280</v>
      </c>
      <c r="B26" s="3015" t="s">
        <v>16</v>
      </c>
      <c r="C26" s="3015" t="s">
        <v>2382</v>
      </c>
      <c r="D26" s="3015" t="s">
        <v>2383</v>
      </c>
      <c r="E26" s="3015" t="s">
        <v>2384</v>
      </c>
      <c r="F26" s="3015" t="s">
        <v>52</v>
      </c>
      <c r="G26" s="3015" t="s">
        <v>2385</v>
      </c>
      <c r="H26" s="3015" t="s">
        <v>28</v>
      </c>
      <c r="I26" s="3015" t="s">
        <v>840</v>
      </c>
    </row>
    <row r="27" spans="1:9" ht="11.25" customHeight="1">
      <c r="A27" s="3015" t="s">
        <v>2280</v>
      </c>
      <c r="B27" s="3015" t="s">
        <v>16</v>
      </c>
      <c r="C27" s="3015" t="s">
        <v>2386</v>
      </c>
      <c r="D27" s="3015" t="s">
        <v>2387</v>
      </c>
      <c r="E27" s="3015" t="s">
        <v>2388</v>
      </c>
      <c r="F27" s="3015" t="s">
        <v>2357</v>
      </c>
      <c r="G27" s="3015" t="s">
        <v>2389</v>
      </c>
      <c r="H27" s="3015" t="s">
        <v>28</v>
      </c>
      <c r="I27" s="3015" t="s">
        <v>840</v>
      </c>
    </row>
    <row r="28" spans="1:9" ht="11.25" customHeight="1">
      <c r="A28" s="3015" t="s">
        <v>2280</v>
      </c>
      <c r="B28" s="3015" t="s">
        <v>16</v>
      </c>
      <c r="C28" s="3015" t="s">
        <v>2390</v>
      </c>
      <c r="D28" s="3015" t="s">
        <v>2391</v>
      </c>
      <c r="E28" s="3015" t="s">
        <v>2392</v>
      </c>
      <c r="F28" s="3015" t="s">
        <v>52</v>
      </c>
      <c r="G28" s="3015" t="s">
        <v>28</v>
      </c>
      <c r="H28" s="3015" t="s">
        <v>28</v>
      </c>
      <c r="I28" s="3015" t="s">
        <v>840</v>
      </c>
    </row>
    <row r="29" spans="1:9" ht="11.25" customHeight="1">
      <c r="A29" s="3015" t="s">
        <v>2280</v>
      </c>
      <c r="B29" s="3015" t="s">
        <v>16</v>
      </c>
      <c r="C29" s="3015" t="s">
        <v>2393</v>
      </c>
      <c r="D29" s="3015" t="s">
        <v>2394</v>
      </c>
      <c r="E29" s="3015" t="s">
        <v>2395</v>
      </c>
      <c r="F29" s="3015" t="s">
        <v>2357</v>
      </c>
      <c r="G29" s="3015" t="s">
        <v>28</v>
      </c>
      <c r="H29" s="3015" t="s">
        <v>28</v>
      </c>
      <c r="I29" s="3015" t="s">
        <v>840</v>
      </c>
    </row>
    <row r="30" spans="1:9" ht="11.25" customHeight="1">
      <c r="A30" s="3015" t="s">
        <v>2280</v>
      </c>
      <c r="B30" s="3015" t="s">
        <v>16</v>
      </c>
      <c r="C30" s="3015" t="s">
        <v>2396</v>
      </c>
      <c r="D30" s="3015" t="s">
        <v>2397</v>
      </c>
      <c r="E30" s="3015" t="s">
        <v>2398</v>
      </c>
      <c r="F30" s="3015" t="s">
        <v>2302</v>
      </c>
      <c r="G30" s="3015" t="s">
        <v>2399</v>
      </c>
      <c r="H30" s="3015" t="s">
        <v>28</v>
      </c>
      <c r="I30" s="3015" t="s">
        <v>840</v>
      </c>
    </row>
    <row r="31" spans="1:9" ht="11.25" customHeight="1">
      <c r="A31" s="3015" t="s">
        <v>2280</v>
      </c>
      <c r="B31" s="3015" t="s">
        <v>16</v>
      </c>
      <c r="C31" s="3015" t="s">
        <v>2400</v>
      </c>
      <c r="D31" s="3015" t="s">
        <v>2401</v>
      </c>
      <c r="E31" s="3015" t="s">
        <v>2402</v>
      </c>
      <c r="F31" s="3015" t="s">
        <v>52</v>
      </c>
      <c r="G31" s="3015" t="s">
        <v>2403</v>
      </c>
      <c r="H31" s="3015" t="s">
        <v>28</v>
      </c>
      <c r="I31" s="3015" t="s">
        <v>840</v>
      </c>
    </row>
    <row r="32" spans="1:9" ht="11.25" customHeight="1">
      <c r="A32" s="3015" t="s">
        <v>2280</v>
      </c>
      <c r="B32" s="3015" t="s">
        <v>16</v>
      </c>
      <c r="C32" s="3015" t="s">
        <v>2404</v>
      </c>
      <c r="D32" s="3015" t="s">
        <v>2405</v>
      </c>
      <c r="E32" s="3015" t="s">
        <v>2406</v>
      </c>
      <c r="F32" s="3015" t="s">
        <v>2302</v>
      </c>
      <c r="G32" s="3015" t="s">
        <v>2407</v>
      </c>
      <c r="H32" s="3015" t="s">
        <v>28</v>
      </c>
      <c r="I32" s="3015" t="s">
        <v>840</v>
      </c>
    </row>
    <row r="33" spans="1:9" ht="11.25" customHeight="1">
      <c r="A33" s="3015" t="s">
        <v>2280</v>
      </c>
      <c r="B33" s="3015" t="s">
        <v>16</v>
      </c>
      <c r="C33" s="3015" t="s">
        <v>2408</v>
      </c>
      <c r="D33" s="3015" t="s">
        <v>2409</v>
      </c>
      <c r="E33" s="3015" t="s">
        <v>2410</v>
      </c>
      <c r="F33" s="3015" t="s">
        <v>2357</v>
      </c>
      <c r="G33" s="3015" t="s">
        <v>28</v>
      </c>
      <c r="H33" s="3015" t="s">
        <v>28</v>
      </c>
      <c r="I33" s="3015" t="s">
        <v>840</v>
      </c>
    </row>
    <row r="34" spans="1:9" ht="11.25" customHeight="1">
      <c r="A34" s="3015" t="s">
        <v>2280</v>
      </c>
      <c r="B34" s="3015" t="s">
        <v>16</v>
      </c>
      <c r="C34" s="3015" t="s">
        <v>2411</v>
      </c>
      <c r="D34" s="3015" t="s">
        <v>2412</v>
      </c>
      <c r="E34" s="3015" t="s">
        <v>2413</v>
      </c>
      <c r="F34" s="3015" t="s">
        <v>2414</v>
      </c>
      <c r="G34" s="3015" t="s">
        <v>2415</v>
      </c>
      <c r="H34" s="3015" t="s">
        <v>28</v>
      </c>
      <c r="I34" s="3015" t="s">
        <v>840</v>
      </c>
    </row>
    <row r="35" spans="1:9" ht="11.25" customHeight="1">
      <c r="A35" s="3015" t="s">
        <v>2280</v>
      </c>
      <c r="B35" s="3015" t="s">
        <v>16</v>
      </c>
      <c r="C35" s="3015" t="s">
        <v>2416</v>
      </c>
      <c r="D35" s="3015" t="s">
        <v>2417</v>
      </c>
      <c r="E35" s="3015" t="s">
        <v>2418</v>
      </c>
      <c r="F35" s="3015" t="s">
        <v>52</v>
      </c>
      <c r="G35" s="3015" t="s">
        <v>28</v>
      </c>
      <c r="H35" s="3015" t="s">
        <v>28</v>
      </c>
      <c r="I35" s="3015" t="s">
        <v>840</v>
      </c>
    </row>
    <row r="36" spans="1:9" ht="11.25" customHeight="1">
      <c r="A36" s="3015" t="s">
        <v>2280</v>
      </c>
      <c r="B36" s="3015" t="s">
        <v>16</v>
      </c>
      <c r="C36" s="3015" t="s">
        <v>13</v>
      </c>
      <c r="D36" s="3015" t="s">
        <v>47</v>
      </c>
      <c r="E36" s="3015" t="s">
        <v>50</v>
      </c>
      <c r="F36" s="3015" t="s">
        <v>52</v>
      </c>
      <c r="G36" s="3015" t="s">
        <v>2419</v>
      </c>
      <c r="H36" s="3015" t="s">
        <v>28</v>
      </c>
      <c r="I36" s="3015" t="s">
        <v>840</v>
      </c>
    </row>
    <row r="37" spans="1:9" ht="11.25" customHeight="1">
      <c r="A37" s="3015" t="s">
        <v>2280</v>
      </c>
      <c r="B37" s="3015" t="s">
        <v>16</v>
      </c>
      <c r="C37" s="3015" t="s">
        <v>2420</v>
      </c>
      <c r="D37" s="3015" t="s">
        <v>2421</v>
      </c>
      <c r="E37" s="3015" t="s">
        <v>2422</v>
      </c>
      <c r="F37" s="3015" t="s">
        <v>2316</v>
      </c>
      <c r="G37" s="3015" t="s">
        <v>28</v>
      </c>
      <c r="H37" s="3015" t="s">
        <v>28</v>
      </c>
      <c r="I37" s="3015" t="s">
        <v>840</v>
      </c>
    </row>
    <row r="38" spans="1:9" ht="11.25" customHeight="1">
      <c r="A38" s="3015" t="s">
        <v>2280</v>
      </c>
      <c r="B38" s="3015" t="s">
        <v>16</v>
      </c>
      <c r="C38" s="3015" t="s">
        <v>2423</v>
      </c>
      <c r="D38" s="3015" t="s">
        <v>2424</v>
      </c>
      <c r="E38" s="3015" t="s">
        <v>2425</v>
      </c>
      <c r="F38" s="3015" t="s">
        <v>2426</v>
      </c>
      <c r="G38" s="3015" t="s">
        <v>28</v>
      </c>
      <c r="H38" s="3015" t="s">
        <v>28</v>
      </c>
      <c r="I38" s="3015" t="s">
        <v>840</v>
      </c>
    </row>
    <row r="39" spans="1:9" ht="11.25" customHeight="1">
      <c r="A39" s="3015" t="s">
        <v>2280</v>
      </c>
      <c r="B39" s="3015" t="s">
        <v>16</v>
      </c>
      <c r="C39" s="3015" t="s">
        <v>2427</v>
      </c>
      <c r="D39" s="3015" t="s">
        <v>2428</v>
      </c>
      <c r="E39" s="3015" t="s">
        <v>2429</v>
      </c>
      <c r="F39" s="3015" t="s">
        <v>2357</v>
      </c>
      <c r="G39" s="3015" t="s">
        <v>28</v>
      </c>
      <c r="H39" s="3015" t="s">
        <v>28</v>
      </c>
      <c r="I39" s="3015" t="s">
        <v>840</v>
      </c>
    </row>
    <row r="40" spans="1:9" ht="11.25" customHeight="1">
      <c r="A40" s="3015" t="s">
        <v>2280</v>
      </c>
      <c r="B40" s="3015" t="s">
        <v>16</v>
      </c>
      <c r="C40" s="3015" t="s">
        <v>2430</v>
      </c>
      <c r="D40" s="3015" t="s">
        <v>2431</v>
      </c>
      <c r="E40" s="3015" t="s">
        <v>2432</v>
      </c>
      <c r="F40" s="3015" t="s">
        <v>52</v>
      </c>
      <c r="G40" s="3015" t="s">
        <v>2433</v>
      </c>
      <c r="H40" s="3015" t="s">
        <v>28</v>
      </c>
      <c r="I40" s="3015" t="s">
        <v>840</v>
      </c>
    </row>
    <row r="41" spans="1:9" ht="11.25" customHeight="1">
      <c r="A41" s="3015" t="s">
        <v>2280</v>
      </c>
      <c r="B41" s="3015" t="s">
        <v>16</v>
      </c>
      <c r="C41" s="3015" t="s">
        <v>2434</v>
      </c>
      <c r="D41" s="3015" t="s">
        <v>2435</v>
      </c>
      <c r="E41" s="3015" t="s">
        <v>2436</v>
      </c>
      <c r="F41" s="3015" t="s">
        <v>2357</v>
      </c>
      <c r="G41" s="3015" t="s">
        <v>28</v>
      </c>
      <c r="H41" s="3015" t="s">
        <v>28</v>
      </c>
      <c r="I41" s="3015" t="s">
        <v>840</v>
      </c>
    </row>
    <row r="42" spans="1:9" ht="11.25" customHeight="1">
      <c r="A42" s="3015" t="s">
        <v>2280</v>
      </c>
      <c r="B42" s="3015" t="s">
        <v>16</v>
      </c>
      <c r="C42" s="3015" t="s">
        <v>2437</v>
      </c>
      <c r="D42" s="3015" t="s">
        <v>2438</v>
      </c>
      <c r="E42" s="3015" t="s">
        <v>2439</v>
      </c>
      <c r="F42" s="3015" t="s">
        <v>2302</v>
      </c>
      <c r="G42" s="3015" t="s">
        <v>2440</v>
      </c>
      <c r="H42" s="3015" t="s">
        <v>28</v>
      </c>
      <c r="I42" s="3015" t="s">
        <v>840</v>
      </c>
    </row>
    <row r="43" spans="1:9" ht="11.25" customHeight="1">
      <c r="A43" s="3015" t="s">
        <v>2280</v>
      </c>
      <c r="B43" s="3015" t="s">
        <v>16</v>
      </c>
      <c r="C43" s="3015" t="s">
        <v>2441</v>
      </c>
      <c r="D43" s="3015" t="s">
        <v>2442</v>
      </c>
      <c r="E43" s="3015" t="s">
        <v>2443</v>
      </c>
      <c r="F43" s="3015" t="s">
        <v>52</v>
      </c>
      <c r="G43" s="3015" t="s">
        <v>2444</v>
      </c>
      <c r="H43" s="3015" t="s">
        <v>28</v>
      </c>
      <c r="I43" s="3015" t="s">
        <v>840</v>
      </c>
    </row>
    <row r="44" spans="1:9" ht="11.25" customHeight="1">
      <c r="A44" s="3015" t="s">
        <v>2280</v>
      </c>
      <c r="B44" s="3015" t="s">
        <v>16</v>
      </c>
      <c r="C44" s="3015" t="s">
        <v>2445</v>
      </c>
      <c r="D44" s="3015" t="s">
        <v>2446</v>
      </c>
      <c r="E44" s="3015" t="s">
        <v>2447</v>
      </c>
      <c r="F44" s="3015" t="s">
        <v>2316</v>
      </c>
      <c r="G44" s="3015" t="s">
        <v>28</v>
      </c>
      <c r="H44" s="3015" t="s">
        <v>28</v>
      </c>
      <c r="I44" s="3015" t="s">
        <v>840</v>
      </c>
    </row>
    <row r="45" spans="1:9" ht="11.25" customHeight="1">
      <c r="A45" s="3015" t="s">
        <v>2280</v>
      </c>
      <c r="B45" s="3015" t="s">
        <v>16</v>
      </c>
      <c r="C45" s="3015" t="s">
        <v>2448</v>
      </c>
      <c r="D45" s="3015" t="s">
        <v>2449</v>
      </c>
      <c r="E45" s="3015" t="s">
        <v>2450</v>
      </c>
      <c r="F45" s="3015" t="s">
        <v>52</v>
      </c>
      <c r="G45" s="3015" t="s">
        <v>2451</v>
      </c>
      <c r="H45" s="3015" t="s">
        <v>28</v>
      </c>
      <c r="I45" s="3015" t="s">
        <v>840</v>
      </c>
    </row>
    <row r="46" spans="1:9" ht="11.25" customHeight="1">
      <c r="A46" s="3015" t="s">
        <v>2280</v>
      </c>
      <c r="B46" s="3015" t="s">
        <v>16</v>
      </c>
      <c r="C46" s="3015" t="s">
        <v>2452</v>
      </c>
      <c r="D46" s="3015" t="s">
        <v>2453</v>
      </c>
      <c r="E46" s="3015" t="s">
        <v>2454</v>
      </c>
      <c r="F46" s="3015" t="s">
        <v>52</v>
      </c>
      <c r="G46" s="3015" t="s">
        <v>28</v>
      </c>
      <c r="H46" s="3015" t="s">
        <v>28</v>
      </c>
      <c r="I46" s="3015" t="s">
        <v>840</v>
      </c>
    </row>
    <row r="47" spans="1:9" ht="11.25" customHeight="1">
      <c r="A47" s="3015" t="s">
        <v>2280</v>
      </c>
      <c r="B47" s="3015" t="s">
        <v>16</v>
      </c>
      <c r="C47" s="3015" t="s">
        <v>2455</v>
      </c>
      <c r="D47" s="3015" t="s">
        <v>2456</v>
      </c>
      <c r="E47" s="3015" t="s">
        <v>2457</v>
      </c>
      <c r="F47" s="3015" t="s">
        <v>2345</v>
      </c>
      <c r="G47" s="3015" t="s">
        <v>28</v>
      </c>
      <c r="H47" s="3015" t="s">
        <v>28</v>
      </c>
      <c r="I47" s="3015" t="s">
        <v>840</v>
      </c>
    </row>
    <row r="48" spans="1:9" ht="11.25" customHeight="1">
      <c r="A48" s="3015" t="s">
        <v>2280</v>
      </c>
      <c r="B48" s="3015" t="s">
        <v>16</v>
      </c>
      <c r="C48" s="3015" t="s">
        <v>28</v>
      </c>
      <c r="D48" s="3015" t="s">
        <v>2458</v>
      </c>
      <c r="E48" s="3015" t="s">
        <v>2459</v>
      </c>
      <c r="F48" s="3015" t="s">
        <v>52</v>
      </c>
      <c r="G48" s="3015" t="s">
        <v>28</v>
      </c>
      <c r="H48" s="3015" t="s">
        <v>28</v>
      </c>
      <c r="I48" s="3015" t="s">
        <v>840</v>
      </c>
    </row>
    <row r="49" spans="1:9" ht="11.25" customHeight="1">
      <c r="A49" s="3015" t="s">
        <v>2280</v>
      </c>
      <c r="B49" s="3015" t="s">
        <v>16</v>
      </c>
      <c r="C49" s="3015" t="s">
        <v>2460</v>
      </c>
      <c r="D49" s="3015" t="s">
        <v>2461</v>
      </c>
      <c r="E49" s="3015" t="s">
        <v>2462</v>
      </c>
      <c r="F49" s="3015" t="s">
        <v>52</v>
      </c>
      <c r="G49" s="3015" t="s">
        <v>2463</v>
      </c>
      <c r="H49" s="3015" t="s">
        <v>28</v>
      </c>
      <c r="I49" s="3015" t="s">
        <v>840</v>
      </c>
    </row>
    <row r="50" spans="1:9" ht="11.25" customHeight="1">
      <c r="A50" s="3015" t="s">
        <v>2280</v>
      </c>
      <c r="B50" s="3015" t="s">
        <v>16</v>
      </c>
      <c r="C50" s="3015" t="s">
        <v>2464</v>
      </c>
      <c r="D50" s="3015" t="s">
        <v>2465</v>
      </c>
      <c r="E50" s="3015" t="s">
        <v>2466</v>
      </c>
      <c r="F50" s="3015" t="s">
        <v>2316</v>
      </c>
      <c r="G50" s="3015" t="s">
        <v>28</v>
      </c>
      <c r="H50" s="3015" t="s">
        <v>28</v>
      </c>
      <c r="I50" s="3015" t="s">
        <v>840</v>
      </c>
    </row>
    <row r="51" spans="1:9" ht="11.25" customHeight="1">
      <c r="A51" s="3015" t="s">
        <v>2280</v>
      </c>
      <c r="B51" s="3015" t="s">
        <v>16</v>
      </c>
      <c r="C51" s="3015" t="s">
        <v>2281</v>
      </c>
      <c r="D51" s="3015" t="s">
        <v>2282</v>
      </c>
      <c r="E51" s="3015" t="s">
        <v>2283</v>
      </c>
      <c r="F51" s="3015" t="s">
        <v>2284</v>
      </c>
      <c r="G51" s="3015" t="s">
        <v>2285</v>
      </c>
      <c r="H51" s="3015" t="s">
        <v>28</v>
      </c>
      <c r="I51" s="3015" t="s">
        <v>926</v>
      </c>
    </row>
    <row r="52" spans="1:9" ht="11.25" customHeight="1">
      <c r="A52" s="3015" t="s">
        <v>2280</v>
      </c>
      <c r="B52" s="3015" t="s">
        <v>16</v>
      </c>
      <c r="C52" s="3015" t="s">
        <v>2286</v>
      </c>
      <c r="D52" s="3015" t="s">
        <v>2287</v>
      </c>
      <c r="E52" s="3015" t="s">
        <v>2288</v>
      </c>
      <c r="F52" s="3015" t="s">
        <v>2289</v>
      </c>
      <c r="G52" s="3015" t="s">
        <v>2290</v>
      </c>
      <c r="H52" s="3015" t="s">
        <v>28</v>
      </c>
      <c r="I52" s="3015" t="s">
        <v>926</v>
      </c>
    </row>
    <row r="53" spans="1:9" ht="11.25" customHeight="1">
      <c r="A53" s="3015" t="s">
        <v>2280</v>
      </c>
      <c r="B53" s="3015" t="s">
        <v>16</v>
      </c>
      <c r="C53" s="3015" t="s">
        <v>2291</v>
      </c>
      <c r="D53" s="3015" t="s">
        <v>2292</v>
      </c>
      <c r="E53" s="3015" t="s">
        <v>2293</v>
      </c>
      <c r="F53" s="3015" t="s">
        <v>52</v>
      </c>
      <c r="G53" s="3015" t="s">
        <v>2294</v>
      </c>
      <c r="H53" s="3015" t="s">
        <v>28</v>
      </c>
      <c r="I53" s="3015" t="s">
        <v>926</v>
      </c>
    </row>
    <row r="54" spans="1:9" ht="11.25" customHeight="1">
      <c r="A54" s="3015" t="s">
        <v>2280</v>
      </c>
      <c r="B54" s="3015" t="s">
        <v>16</v>
      </c>
      <c r="C54" s="3015" t="s">
        <v>2299</v>
      </c>
      <c r="D54" s="3015" t="s">
        <v>2300</v>
      </c>
      <c r="E54" s="3015" t="s">
        <v>2301</v>
      </c>
      <c r="F54" s="3015" t="s">
        <v>2302</v>
      </c>
      <c r="G54" s="3015" t="s">
        <v>2303</v>
      </c>
      <c r="H54" s="3015" t="s">
        <v>28</v>
      </c>
      <c r="I54" s="3015" t="s">
        <v>926</v>
      </c>
    </row>
    <row r="55" spans="1:9" ht="11.25" customHeight="1">
      <c r="A55" s="3015" t="s">
        <v>2280</v>
      </c>
      <c r="B55" s="3015" t="s">
        <v>16</v>
      </c>
      <c r="C55" s="3015" t="s">
        <v>2309</v>
      </c>
      <c r="D55" s="3015" t="s">
        <v>2310</v>
      </c>
      <c r="E55" s="3015" t="s">
        <v>2311</v>
      </c>
      <c r="F55" s="3015" t="s">
        <v>52</v>
      </c>
      <c r="G55" s="3015" t="s">
        <v>2312</v>
      </c>
      <c r="H55" s="3015" t="s">
        <v>28</v>
      </c>
      <c r="I55" s="3015" t="s">
        <v>926</v>
      </c>
    </row>
    <row r="56" spans="1:9" ht="11.25" customHeight="1">
      <c r="A56" s="3015" t="s">
        <v>2280</v>
      </c>
      <c r="B56" s="3015" t="s">
        <v>16</v>
      </c>
      <c r="C56" s="3015" t="s">
        <v>2313</v>
      </c>
      <c r="D56" s="3015" t="s">
        <v>2314</v>
      </c>
      <c r="E56" s="3015" t="s">
        <v>2315</v>
      </c>
      <c r="F56" s="3015" t="s">
        <v>2316</v>
      </c>
      <c r="G56" s="3015" t="s">
        <v>2317</v>
      </c>
      <c r="H56" s="3015" t="s">
        <v>28</v>
      </c>
      <c r="I56" s="3015" t="s">
        <v>926</v>
      </c>
    </row>
    <row r="57" spans="1:9" ht="11.25" customHeight="1">
      <c r="A57" s="3015" t="s">
        <v>2280</v>
      </c>
      <c r="B57" s="3015" t="s">
        <v>16</v>
      </c>
      <c r="C57" s="3015" t="s">
        <v>2318</v>
      </c>
      <c r="D57" s="3015" t="s">
        <v>2319</v>
      </c>
      <c r="E57" s="3015" t="s">
        <v>2320</v>
      </c>
      <c r="F57" s="3015" t="s">
        <v>52</v>
      </c>
      <c r="G57" s="3015" t="s">
        <v>28</v>
      </c>
      <c r="H57" s="3015" t="s">
        <v>28</v>
      </c>
      <c r="I57" s="3015" t="s">
        <v>926</v>
      </c>
    </row>
    <row r="58" spans="1:9" ht="11.25" customHeight="1">
      <c r="A58" s="3015" t="s">
        <v>2280</v>
      </c>
      <c r="B58" s="3015" t="s">
        <v>16</v>
      </c>
      <c r="C58" s="3015" t="s">
        <v>2321</v>
      </c>
      <c r="D58" s="3015" t="s">
        <v>2322</v>
      </c>
      <c r="E58" s="3015" t="s">
        <v>2323</v>
      </c>
      <c r="F58" s="3015" t="s">
        <v>52</v>
      </c>
      <c r="G58" s="3015" t="s">
        <v>2324</v>
      </c>
      <c r="H58" s="3015" t="s">
        <v>28</v>
      </c>
      <c r="I58" s="3015" t="s">
        <v>926</v>
      </c>
    </row>
    <row r="59" spans="1:9" ht="11.25" customHeight="1">
      <c r="A59" s="3015" t="s">
        <v>2280</v>
      </c>
      <c r="B59" s="3015" t="s">
        <v>16</v>
      </c>
      <c r="C59" s="3015" t="s">
        <v>2334</v>
      </c>
      <c r="D59" s="3015" t="s">
        <v>2335</v>
      </c>
      <c r="E59" s="3015" t="s">
        <v>2336</v>
      </c>
      <c r="F59" s="3015" t="s">
        <v>2316</v>
      </c>
      <c r="G59" s="3015" t="s">
        <v>2337</v>
      </c>
      <c r="H59" s="3015" t="s">
        <v>28</v>
      </c>
      <c r="I59" s="3015" t="s">
        <v>926</v>
      </c>
    </row>
    <row r="60" spans="1:9" ht="11.25" customHeight="1">
      <c r="A60" s="3015" t="s">
        <v>2280</v>
      </c>
      <c r="B60" s="3015" t="s">
        <v>16</v>
      </c>
      <c r="C60" s="3015" t="s">
        <v>2338</v>
      </c>
      <c r="D60" s="3015" t="s">
        <v>2339</v>
      </c>
      <c r="E60" s="3015" t="s">
        <v>2340</v>
      </c>
      <c r="F60" s="3015" t="s">
        <v>2341</v>
      </c>
      <c r="G60" s="3015" t="s">
        <v>28</v>
      </c>
      <c r="H60" s="3015" t="s">
        <v>28</v>
      </c>
      <c r="I60" s="3015" t="s">
        <v>926</v>
      </c>
    </row>
    <row r="61" spans="1:9" ht="11.25" customHeight="1">
      <c r="A61" s="3015" t="s">
        <v>2280</v>
      </c>
      <c r="B61" s="3015" t="s">
        <v>16</v>
      </c>
      <c r="C61" s="3015" t="s">
        <v>2342</v>
      </c>
      <c r="D61" s="3015" t="s">
        <v>2343</v>
      </c>
      <c r="E61" s="3015" t="s">
        <v>2344</v>
      </c>
      <c r="F61" s="3015" t="s">
        <v>2345</v>
      </c>
      <c r="G61" s="3015" t="s">
        <v>2346</v>
      </c>
      <c r="H61" s="3015" t="s">
        <v>28</v>
      </c>
      <c r="I61" s="3015" t="s">
        <v>926</v>
      </c>
    </row>
    <row r="62" spans="1:9" ht="11.25" customHeight="1">
      <c r="A62" s="3015" t="s">
        <v>2280</v>
      </c>
      <c r="B62" s="3015" t="s">
        <v>16</v>
      </c>
      <c r="C62" s="3015" t="s">
        <v>2347</v>
      </c>
      <c r="D62" s="3015" t="s">
        <v>2348</v>
      </c>
      <c r="E62" s="3015" t="s">
        <v>2349</v>
      </c>
      <c r="F62" s="3015" t="s">
        <v>2316</v>
      </c>
      <c r="G62" s="3015" t="s">
        <v>28</v>
      </c>
      <c r="H62" s="3015" t="s">
        <v>28</v>
      </c>
      <c r="I62" s="3015" t="s">
        <v>926</v>
      </c>
    </row>
    <row r="63" spans="1:9" ht="11.25" customHeight="1">
      <c r="A63" s="3015" t="s">
        <v>2280</v>
      </c>
      <c r="B63" s="3015" t="s">
        <v>16</v>
      </c>
      <c r="C63" s="3015" t="s">
        <v>2350</v>
      </c>
      <c r="D63" s="3015" t="s">
        <v>2351</v>
      </c>
      <c r="E63" s="3015" t="s">
        <v>2352</v>
      </c>
      <c r="F63" s="3015" t="s">
        <v>52</v>
      </c>
      <c r="G63" s="3015" t="s">
        <v>2353</v>
      </c>
      <c r="H63" s="3015" t="s">
        <v>28</v>
      </c>
      <c r="I63" s="3015" t="s">
        <v>926</v>
      </c>
    </row>
    <row r="64" spans="1:9" ht="11.25" customHeight="1">
      <c r="A64" s="3015" t="s">
        <v>2280</v>
      </c>
      <c r="B64" s="3015" t="s">
        <v>16</v>
      </c>
      <c r="C64" s="3015" t="s">
        <v>2354</v>
      </c>
      <c r="D64" s="3015" t="s">
        <v>2355</v>
      </c>
      <c r="E64" s="3015" t="s">
        <v>2356</v>
      </c>
      <c r="F64" s="3015" t="s">
        <v>2357</v>
      </c>
      <c r="G64" s="3015" t="s">
        <v>2358</v>
      </c>
      <c r="H64" s="3015" t="s">
        <v>28</v>
      </c>
      <c r="I64" s="3015" t="s">
        <v>926</v>
      </c>
    </row>
    <row r="65" spans="1:9" ht="11.25" customHeight="1">
      <c r="A65" s="3015" t="s">
        <v>2280</v>
      </c>
      <c r="B65" s="3015" t="s">
        <v>16</v>
      </c>
      <c r="C65" s="3015" t="s">
        <v>2359</v>
      </c>
      <c r="D65" s="3015" t="s">
        <v>2360</v>
      </c>
      <c r="E65" s="3015" t="s">
        <v>2361</v>
      </c>
      <c r="F65" s="3015" t="s">
        <v>2316</v>
      </c>
      <c r="G65" s="3015" t="s">
        <v>28</v>
      </c>
      <c r="H65" s="3015" t="s">
        <v>28</v>
      </c>
      <c r="I65" s="3015" t="s">
        <v>926</v>
      </c>
    </row>
    <row r="66" spans="1:9" ht="11.25" customHeight="1">
      <c r="A66" s="3015" t="s">
        <v>2280</v>
      </c>
      <c r="B66" s="3015" t="s">
        <v>16</v>
      </c>
      <c r="C66" s="3015" t="s">
        <v>2374</v>
      </c>
      <c r="D66" s="3015" t="s">
        <v>2375</v>
      </c>
      <c r="E66" s="3015" t="s">
        <v>2376</v>
      </c>
      <c r="F66" s="3015" t="s">
        <v>2357</v>
      </c>
      <c r="G66" s="3015" t="s">
        <v>2377</v>
      </c>
      <c r="H66" s="3015" t="s">
        <v>28</v>
      </c>
      <c r="I66" s="3015" t="s">
        <v>926</v>
      </c>
    </row>
    <row r="67" spans="1:9" ht="11.25" customHeight="1">
      <c r="A67" s="3015" t="s">
        <v>2280</v>
      </c>
      <c r="B67" s="3015" t="s">
        <v>16</v>
      </c>
      <c r="C67" s="3015" t="s">
        <v>2378</v>
      </c>
      <c r="D67" s="3015" t="s">
        <v>2379</v>
      </c>
      <c r="E67" s="3015" t="s">
        <v>2380</v>
      </c>
      <c r="F67" s="3015" t="s">
        <v>2316</v>
      </c>
      <c r="G67" s="3015" t="s">
        <v>2381</v>
      </c>
      <c r="H67" s="3015" t="s">
        <v>28</v>
      </c>
      <c r="I67" s="3015" t="s">
        <v>926</v>
      </c>
    </row>
    <row r="68" spans="1:9" ht="11.25" customHeight="1">
      <c r="A68" s="3015" t="s">
        <v>2280</v>
      </c>
      <c r="B68" s="3015" t="s">
        <v>16</v>
      </c>
      <c r="C68" s="3015" t="s">
        <v>2386</v>
      </c>
      <c r="D68" s="3015" t="s">
        <v>2387</v>
      </c>
      <c r="E68" s="3015" t="s">
        <v>2388</v>
      </c>
      <c r="F68" s="3015" t="s">
        <v>2357</v>
      </c>
      <c r="G68" s="3015" t="s">
        <v>2389</v>
      </c>
      <c r="H68" s="3015" t="s">
        <v>28</v>
      </c>
      <c r="I68" s="3015" t="s">
        <v>926</v>
      </c>
    </row>
    <row r="69" spans="1:9" ht="11.25" customHeight="1">
      <c r="A69" s="3015" t="s">
        <v>2280</v>
      </c>
      <c r="B69" s="3015" t="s">
        <v>16</v>
      </c>
      <c r="C69" s="3015" t="s">
        <v>2393</v>
      </c>
      <c r="D69" s="3015" t="s">
        <v>2394</v>
      </c>
      <c r="E69" s="3015" t="s">
        <v>2395</v>
      </c>
      <c r="F69" s="3015" t="s">
        <v>2357</v>
      </c>
      <c r="G69" s="3015" t="s">
        <v>28</v>
      </c>
      <c r="H69" s="3015" t="s">
        <v>28</v>
      </c>
      <c r="I69" s="3015" t="s">
        <v>926</v>
      </c>
    </row>
    <row r="70" spans="1:9" ht="11.25" customHeight="1">
      <c r="A70" s="3015" t="s">
        <v>2280</v>
      </c>
      <c r="B70" s="3015" t="s">
        <v>16</v>
      </c>
      <c r="C70" s="3015" t="s">
        <v>2396</v>
      </c>
      <c r="D70" s="3015" t="s">
        <v>2397</v>
      </c>
      <c r="E70" s="3015" t="s">
        <v>2398</v>
      </c>
      <c r="F70" s="3015" t="s">
        <v>2302</v>
      </c>
      <c r="G70" s="3015" t="s">
        <v>2399</v>
      </c>
      <c r="H70" s="3015" t="s">
        <v>28</v>
      </c>
      <c r="I70" s="3015" t="s">
        <v>926</v>
      </c>
    </row>
    <row r="71" spans="1:9" ht="11.25" customHeight="1">
      <c r="A71" s="3015" t="s">
        <v>2280</v>
      </c>
      <c r="B71" s="3015" t="s">
        <v>16</v>
      </c>
      <c r="C71" s="3015" t="s">
        <v>2400</v>
      </c>
      <c r="D71" s="3015" t="s">
        <v>2401</v>
      </c>
      <c r="E71" s="3015" t="s">
        <v>2402</v>
      </c>
      <c r="F71" s="3015" t="s">
        <v>52</v>
      </c>
      <c r="G71" s="3015" t="s">
        <v>2403</v>
      </c>
      <c r="H71" s="3015" t="s">
        <v>28</v>
      </c>
      <c r="I71" s="3015" t="s">
        <v>926</v>
      </c>
    </row>
    <row r="72" spans="1:9" ht="11.25" customHeight="1">
      <c r="A72" s="3015" t="s">
        <v>2280</v>
      </c>
      <c r="B72" s="3015" t="s">
        <v>16</v>
      </c>
      <c r="C72" s="3015" t="s">
        <v>2404</v>
      </c>
      <c r="D72" s="3015" t="s">
        <v>2405</v>
      </c>
      <c r="E72" s="3015" t="s">
        <v>2406</v>
      </c>
      <c r="F72" s="3015" t="s">
        <v>2302</v>
      </c>
      <c r="G72" s="3015" t="s">
        <v>2407</v>
      </c>
      <c r="H72" s="3015" t="s">
        <v>28</v>
      </c>
      <c r="I72" s="3015" t="s">
        <v>926</v>
      </c>
    </row>
    <row r="73" spans="1:9" ht="11.25" customHeight="1">
      <c r="A73" s="3015" t="s">
        <v>2280</v>
      </c>
      <c r="B73" s="3015" t="s">
        <v>16</v>
      </c>
      <c r="C73" s="3015" t="s">
        <v>2408</v>
      </c>
      <c r="D73" s="3015" t="s">
        <v>2409</v>
      </c>
      <c r="E73" s="3015" t="s">
        <v>2410</v>
      </c>
      <c r="F73" s="3015" t="s">
        <v>2357</v>
      </c>
      <c r="G73" s="3015" t="s">
        <v>28</v>
      </c>
      <c r="H73" s="3015" t="s">
        <v>28</v>
      </c>
      <c r="I73" s="3015" t="s">
        <v>926</v>
      </c>
    </row>
    <row r="74" spans="1:9" ht="11.25" customHeight="1">
      <c r="A74" s="3015" t="s">
        <v>2280</v>
      </c>
      <c r="B74" s="3015" t="s">
        <v>16</v>
      </c>
      <c r="C74" s="3015" t="s">
        <v>2416</v>
      </c>
      <c r="D74" s="3015" t="s">
        <v>2417</v>
      </c>
      <c r="E74" s="3015" t="s">
        <v>2418</v>
      </c>
      <c r="F74" s="3015" t="s">
        <v>52</v>
      </c>
      <c r="G74" s="3015" t="s">
        <v>28</v>
      </c>
      <c r="H74" s="3015" t="s">
        <v>28</v>
      </c>
      <c r="I74" s="3015" t="s">
        <v>926</v>
      </c>
    </row>
    <row r="75" spans="1:9" ht="11.25" customHeight="1">
      <c r="A75" s="3015" t="s">
        <v>2280</v>
      </c>
      <c r="B75" s="3015" t="s">
        <v>16</v>
      </c>
      <c r="C75" s="3015" t="s">
        <v>13</v>
      </c>
      <c r="D75" s="3015" t="s">
        <v>47</v>
      </c>
      <c r="E75" s="3015" t="s">
        <v>50</v>
      </c>
      <c r="F75" s="3015" t="s">
        <v>52</v>
      </c>
      <c r="G75" s="3015" t="s">
        <v>2419</v>
      </c>
      <c r="H75" s="3015" t="s">
        <v>28</v>
      </c>
      <c r="I75" s="3015" t="s">
        <v>926</v>
      </c>
    </row>
    <row r="76" spans="1:9" ht="11.25" customHeight="1">
      <c r="A76" s="3015" t="s">
        <v>2280</v>
      </c>
      <c r="B76" s="3015" t="s">
        <v>16</v>
      </c>
      <c r="C76" s="3015" t="s">
        <v>2420</v>
      </c>
      <c r="D76" s="3015" t="s">
        <v>2421</v>
      </c>
      <c r="E76" s="3015" t="s">
        <v>2422</v>
      </c>
      <c r="F76" s="3015" t="s">
        <v>2316</v>
      </c>
      <c r="G76" s="3015" t="s">
        <v>28</v>
      </c>
      <c r="H76" s="3015" t="s">
        <v>28</v>
      </c>
      <c r="I76" s="3015" t="s">
        <v>926</v>
      </c>
    </row>
    <row r="77" spans="1:9" ht="11.25" customHeight="1">
      <c r="A77" s="3015" t="s">
        <v>2280</v>
      </c>
      <c r="B77" s="3015" t="s">
        <v>16</v>
      </c>
      <c r="C77" s="3015" t="s">
        <v>2423</v>
      </c>
      <c r="D77" s="3015" t="s">
        <v>2424</v>
      </c>
      <c r="E77" s="3015" t="s">
        <v>2425</v>
      </c>
      <c r="F77" s="3015" t="s">
        <v>2426</v>
      </c>
      <c r="G77" s="3015" t="s">
        <v>28</v>
      </c>
      <c r="H77" s="3015" t="s">
        <v>28</v>
      </c>
      <c r="I77" s="3015" t="s">
        <v>926</v>
      </c>
    </row>
    <row r="78" spans="1:9" ht="11.25" customHeight="1">
      <c r="A78" s="3015" t="s">
        <v>2280</v>
      </c>
      <c r="B78" s="3015" t="s">
        <v>16</v>
      </c>
      <c r="C78" s="3015" t="s">
        <v>2427</v>
      </c>
      <c r="D78" s="3015" t="s">
        <v>2428</v>
      </c>
      <c r="E78" s="3015" t="s">
        <v>2429</v>
      </c>
      <c r="F78" s="3015" t="s">
        <v>2357</v>
      </c>
      <c r="G78" s="3015" t="s">
        <v>28</v>
      </c>
      <c r="H78" s="3015" t="s">
        <v>28</v>
      </c>
      <c r="I78" s="3015" t="s">
        <v>926</v>
      </c>
    </row>
    <row r="79" spans="1:9" ht="11.25" customHeight="1">
      <c r="A79" s="3015" t="s">
        <v>2280</v>
      </c>
      <c r="B79" s="3015" t="s">
        <v>16</v>
      </c>
      <c r="C79" s="3015" t="s">
        <v>2430</v>
      </c>
      <c r="D79" s="3015" t="s">
        <v>2431</v>
      </c>
      <c r="E79" s="3015" t="s">
        <v>2432</v>
      </c>
      <c r="F79" s="3015" t="s">
        <v>52</v>
      </c>
      <c r="G79" s="3015" t="s">
        <v>2433</v>
      </c>
      <c r="H79" s="3015" t="s">
        <v>28</v>
      </c>
      <c r="I79" s="3015" t="s">
        <v>926</v>
      </c>
    </row>
    <row r="80" spans="1:9" ht="11.25" customHeight="1">
      <c r="A80" s="3015" t="s">
        <v>2280</v>
      </c>
      <c r="B80" s="3015" t="s">
        <v>16</v>
      </c>
      <c r="C80" s="3015" t="s">
        <v>2434</v>
      </c>
      <c r="D80" s="3015" t="s">
        <v>2435</v>
      </c>
      <c r="E80" s="3015" t="s">
        <v>2436</v>
      </c>
      <c r="F80" s="3015" t="s">
        <v>2357</v>
      </c>
      <c r="G80" s="3015" t="s">
        <v>28</v>
      </c>
      <c r="H80" s="3015" t="s">
        <v>28</v>
      </c>
      <c r="I80" s="3015" t="s">
        <v>926</v>
      </c>
    </row>
    <row r="81" spans="1:9" ht="11.25" customHeight="1">
      <c r="A81" s="3015" t="s">
        <v>2280</v>
      </c>
      <c r="B81" s="3015" t="s">
        <v>16</v>
      </c>
      <c r="C81" s="3015" t="s">
        <v>2448</v>
      </c>
      <c r="D81" s="3015" t="s">
        <v>2449</v>
      </c>
      <c r="E81" s="3015" t="s">
        <v>2450</v>
      </c>
      <c r="F81" s="3015" t="s">
        <v>52</v>
      </c>
      <c r="G81" s="3015" t="s">
        <v>2451</v>
      </c>
      <c r="H81" s="3015" t="s">
        <v>28</v>
      </c>
      <c r="I81" s="3015" t="s">
        <v>926</v>
      </c>
    </row>
    <row r="82" spans="1:9" ht="11.25" customHeight="1">
      <c r="A82" s="3015" t="s">
        <v>2280</v>
      </c>
      <c r="B82" s="3015" t="s">
        <v>16</v>
      </c>
      <c r="C82" s="3015" t="s">
        <v>2452</v>
      </c>
      <c r="D82" s="3015" t="s">
        <v>2453</v>
      </c>
      <c r="E82" s="3015" t="s">
        <v>2454</v>
      </c>
      <c r="F82" s="3015" t="s">
        <v>52</v>
      </c>
      <c r="G82" s="3015" t="s">
        <v>28</v>
      </c>
      <c r="H82" s="3015" t="s">
        <v>28</v>
      </c>
      <c r="I82" s="3015" t="s">
        <v>926</v>
      </c>
    </row>
    <row r="83" spans="1:9" ht="11.25" customHeight="1">
      <c r="A83" s="3015" t="s">
        <v>2280</v>
      </c>
      <c r="B83" s="3015" t="s">
        <v>16</v>
      </c>
      <c r="C83" s="3015" t="s">
        <v>2455</v>
      </c>
      <c r="D83" s="3015" t="s">
        <v>2456</v>
      </c>
      <c r="E83" s="3015" t="s">
        <v>2457</v>
      </c>
      <c r="F83" s="3015" t="s">
        <v>2345</v>
      </c>
      <c r="G83" s="3015" t="s">
        <v>28</v>
      </c>
      <c r="H83" s="3015" t="s">
        <v>28</v>
      </c>
      <c r="I83" s="3015" t="s">
        <v>926</v>
      </c>
    </row>
    <row r="84" spans="1:9" ht="11.25" customHeight="1">
      <c r="A84" s="3015" t="s">
        <v>2280</v>
      </c>
      <c r="B84" s="3015" t="s">
        <v>16</v>
      </c>
      <c r="C84" s="3015" t="s">
        <v>28</v>
      </c>
      <c r="D84" s="3015" t="s">
        <v>2458</v>
      </c>
      <c r="E84" s="3015" t="s">
        <v>2459</v>
      </c>
      <c r="F84" s="3015" t="s">
        <v>52</v>
      </c>
      <c r="G84" s="3015" t="s">
        <v>28</v>
      </c>
      <c r="H84" s="3015" t="s">
        <v>28</v>
      </c>
      <c r="I84" s="3015" t="s">
        <v>926</v>
      </c>
    </row>
    <row r="85" spans="1:9" ht="11.25" customHeight="1">
      <c r="A85" s="3015" t="s">
        <v>2280</v>
      </c>
      <c r="B85" s="3015" t="s">
        <v>16</v>
      </c>
      <c r="C85" s="3015" t="s">
        <v>2460</v>
      </c>
      <c r="D85" s="3015" t="s">
        <v>2461</v>
      </c>
      <c r="E85" s="3015" t="s">
        <v>2462</v>
      </c>
      <c r="F85" s="3015" t="s">
        <v>52</v>
      </c>
      <c r="G85" s="3015" t="s">
        <v>2463</v>
      </c>
      <c r="H85" s="3015" t="s">
        <v>28</v>
      </c>
      <c r="I85" s="3015" t="s">
        <v>926</v>
      </c>
    </row>
    <row r="86" spans="1:9" ht="11.25" customHeight="1">
      <c r="A86" s="3015" t="s">
        <v>2280</v>
      </c>
      <c r="B86" s="3015" t="s">
        <v>16</v>
      </c>
      <c r="C86" s="3015" t="s">
        <v>2464</v>
      </c>
      <c r="D86" s="3015" t="s">
        <v>2465</v>
      </c>
      <c r="E86" s="3015" t="s">
        <v>2466</v>
      </c>
      <c r="F86" s="3015" t="s">
        <v>2316</v>
      </c>
      <c r="G86" s="3015" t="s">
        <v>28</v>
      </c>
      <c r="H86" s="3015" t="s">
        <v>28</v>
      </c>
      <c r="I86" s="3015" t="s">
        <v>926</v>
      </c>
    </row>
    <row r="87" spans="1:9" ht="11.25" customHeight="1">
      <c r="A87" s="3015" t="s">
        <v>2280</v>
      </c>
      <c r="B87" s="3015" t="s">
        <v>16</v>
      </c>
      <c r="C87" s="3015" t="s">
        <v>2467</v>
      </c>
      <c r="D87" s="3015" t="s">
        <v>2468</v>
      </c>
      <c r="E87" s="3015" t="s">
        <v>2469</v>
      </c>
      <c r="F87" s="3015" t="s">
        <v>2316</v>
      </c>
      <c r="G87" s="3015" t="s">
        <v>2470</v>
      </c>
      <c r="H87" s="3015" t="s">
        <v>28</v>
      </c>
      <c r="I87" s="3015" t="s">
        <v>886</v>
      </c>
    </row>
    <row r="88" spans="1:9" ht="11.25" customHeight="1">
      <c r="A88" s="3015" t="s">
        <v>2280</v>
      </c>
      <c r="B88" s="3015" t="s">
        <v>16</v>
      </c>
      <c r="C88" s="3015" t="s">
        <v>2471</v>
      </c>
      <c r="D88" s="3015" t="s">
        <v>2472</v>
      </c>
      <c r="E88" s="3015" t="s">
        <v>2473</v>
      </c>
      <c r="F88" s="3015" t="s">
        <v>2414</v>
      </c>
      <c r="G88" s="3015" t="s">
        <v>2474</v>
      </c>
      <c r="H88" s="3015" t="s">
        <v>28</v>
      </c>
      <c r="I88" s="3015" t="s">
        <v>886</v>
      </c>
    </row>
    <row r="89" spans="1:9" ht="11.25" customHeight="1">
      <c r="A89" s="3015" t="s">
        <v>2280</v>
      </c>
      <c r="B89" s="3015" t="s">
        <v>16</v>
      </c>
      <c r="C89" s="3015" t="s">
        <v>2286</v>
      </c>
      <c r="D89" s="3015" t="s">
        <v>2287</v>
      </c>
      <c r="E89" s="3015" t="s">
        <v>2288</v>
      </c>
      <c r="F89" s="3015" t="s">
        <v>2289</v>
      </c>
      <c r="G89" s="3015" t="s">
        <v>2290</v>
      </c>
      <c r="H89" s="3015" t="s">
        <v>28</v>
      </c>
      <c r="I89" s="3015" t="s">
        <v>886</v>
      </c>
    </row>
    <row r="90" spans="1:9" ht="11.25" customHeight="1">
      <c r="A90" s="3015" t="s">
        <v>2280</v>
      </c>
      <c r="B90" s="3015" t="s">
        <v>16</v>
      </c>
      <c r="C90" s="3015" t="s">
        <v>2291</v>
      </c>
      <c r="D90" s="3015" t="s">
        <v>2292</v>
      </c>
      <c r="E90" s="3015" t="s">
        <v>2293</v>
      </c>
      <c r="F90" s="3015" t="s">
        <v>52</v>
      </c>
      <c r="G90" s="3015" t="s">
        <v>2294</v>
      </c>
      <c r="H90" s="3015" t="s">
        <v>28</v>
      </c>
      <c r="I90" s="3015" t="s">
        <v>886</v>
      </c>
    </row>
    <row r="91" spans="1:9" ht="11.25" customHeight="1">
      <c r="A91" s="3015" t="s">
        <v>2280</v>
      </c>
      <c r="B91" s="3015" t="s">
        <v>16</v>
      </c>
      <c r="C91" s="3015" t="s">
        <v>2475</v>
      </c>
      <c r="D91" s="3015" t="s">
        <v>2476</v>
      </c>
      <c r="E91" s="3015" t="s">
        <v>2477</v>
      </c>
      <c r="F91" s="3015" t="s">
        <v>2345</v>
      </c>
      <c r="G91" s="3015" t="s">
        <v>28</v>
      </c>
      <c r="H91" s="3015" t="s">
        <v>28</v>
      </c>
      <c r="I91" s="3015" t="s">
        <v>886</v>
      </c>
    </row>
    <row r="92" spans="1:9" ht="11.25" customHeight="1">
      <c r="A92" s="3015" t="s">
        <v>2280</v>
      </c>
      <c r="B92" s="3015" t="s">
        <v>16</v>
      </c>
      <c r="C92" s="3015" t="s">
        <v>2299</v>
      </c>
      <c r="D92" s="3015" t="s">
        <v>2300</v>
      </c>
      <c r="E92" s="3015" t="s">
        <v>2301</v>
      </c>
      <c r="F92" s="3015" t="s">
        <v>2302</v>
      </c>
      <c r="G92" s="3015" t="s">
        <v>2303</v>
      </c>
      <c r="H92" s="3015" t="s">
        <v>28</v>
      </c>
      <c r="I92" s="3015" t="s">
        <v>886</v>
      </c>
    </row>
    <row r="93" spans="1:9" ht="11.25" customHeight="1">
      <c r="A93" s="3015" t="s">
        <v>2280</v>
      </c>
      <c r="B93" s="3015" t="s">
        <v>16</v>
      </c>
      <c r="C93" s="3015" t="s">
        <v>2318</v>
      </c>
      <c r="D93" s="3015" t="s">
        <v>2319</v>
      </c>
      <c r="E93" s="3015" t="s">
        <v>2320</v>
      </c>
      <c r="F93" s="3015" t="s">
        <v>52</v>
      </c>
      <c r="G93" s="3015" t="s">
        <v>28</v>
      </c>
      <c r="H93" s="3015" t="s">
        <v>28</v>
      </c>
      <c r="I93" s="3015" t="s">
        <v>886</v>
      </c>
    </row>
    <row r="94" spans="1:9" ht="11.25" customHeight="1">
      <c r="A94" s="3015" t="s">
        <v>2280</v>
      </c>
      <c r="B94" s="3015" t="s">
        <v>16</v>
      </c>
      <c r="C94" s="3015" t="s">
        <v>2321</v>
      </c>
      <c r="D94" s="3015" t="s">
        <v>2322</v>
      </c>
      <c r="E94" s="3015" t="s">
        <v>2323</v>
      </c>
      <c r="F94" s="3015" t="s">
        <v>52</v>
      </c>
      <c r="G94" s="3015" t="s">
        <v>2324</v>
      </c>
      <c r="H94" s="3015" t="s">
        <v>28</v>
      </c>
      <c r="I94" s="3015" t="s">
        <v>886</v>
      </c>
    </row>
    <row r="95" spans="1:9" ht="11.25" customHeight="1">
      <c r="A95" s="3015" t="s">
        <v>2280</v>
      </c>
      <c r="B95" s="3015" t="s">
        <v>16</v>
      </c>
      <c r="C95" s="3015" t="s">
        <v>2478</v>
      </c>
      <c r="D95" s="3015" t="s">
        <v>2479</v>
      </c>
      <c r="E95" s="3015" t="s">
        <v>2480</v>
      </c>
      <c r="F95" s="3015" t="s">
        <v>52</v>
      </c>
      <c r="G95" s="3015" t="s">
        <v>2481</v>
      </c>
      <c r="H95" s="3015" t="s">
        <v>28</v>
      </c>
      <c r="I95" s="3015" t="s">
        <v>886</v>
      </c>
    </row>
    <row r="96" spans="1:9" ht="11.25" customHeight="1">
      <c r="A96" s="3015" t="s">
        <v>2280</v>
      </c>
      <c r="B96" s="3015" t="s">
        <v>16</v>
      </c>
      <c r="C96" s="3015" t="s">
        <v>2334</v>
      </c>
      <c r="D96" s="3015" t="s">
        <v>2335</v>
      </c>
      <c r="E96" s="3015" t="s">
        <v>2336</v>
      </c>
      <c r="F96" s="3015" t="s">
        <v>2316</v>
      </c>
      <c r="G96" s="3015" t="s">
        <v>2337</v>
      </c>
      <c r="H96" s="3015" t="s">
        <v>28</v>
      </c>
      <c r="I96" s="3015" t="s">
        <v>886</v>
      </c>
    </row>
    <row r="97" spans="1:9" ht="11.25" customHeight="1">
      <c r="A97" s="3015" t="s">
        <v>2280</v>
      </c>
      <c r="B97" s="3015" t="s">
        <v>16</v>
      </c>
      <c r="C97" s="3015" t="s">
        <v>2482</v>
      </c>
      <c r="D97" s="3015" t="s">
        <v>2483</v>
      </c>
      <c r="E97" s="3015" t="s">
        <v>2484</v>
      </c>
      <c r="F97" s="3015" t="s">
        <v>2345</v>
      </c>
      <c r="G97" s="3015" t="s">
        <v>2485</v>
      </c>
      <c r="H97" s="3015" t="s">
        <v>28</v>
      </c>
      <c r="I97" s="3015" t="s">
        <v>886</v>
      </c>
    </row>
    <row r="98" spans="1:9" ht="11.25" customHeight="1">
      <c r="A98" s="3015" t="s">
        <v>2280</v>
      </c>
      <c r="B98" s="3015" t="s">
        <v>16</v>
      </c>
      <c r="C98" s="3015" t="s">
        <v>2486</v>
      </c>
      <c r="D98" s="3015" t="s">
        <v>2487</v>
      </c>
      <c r="E98" s="3015" t="s">
        <v>2488</v>
      </c>
      <c r="F98" s="3015" t="s">
        <v>2316</v>
      </c>
      <c r="G98" s="3015" t="s">
        <v>2489</v>
      </c>
      <c r="H98" s="3015" t="s">
        <v>28</v>
      </c>
      <c r="I98" s="3015" t="s">
        <v>886</v>
      </c>
    </row>
    <row r="99" spans="1:9" ht="11.25" customHeight="1">
      <c r="A99" s="3015" t="s">
        <v>2280</v>
      </c>
      <c r="B99" s="3015" t="s">
        <v>16</v>
      </c>
      <c r="C99" s="3015" t="s">
        <v>2490</v>
      </c>
      <c r="D99" s="3015" t="s">
        <v>2491</v>
      </c>
      <c r="E99" s="3015" t="s">
        <v>2492</v>
      </c>
      <c r="F99" s="3015" t="s">
        <v>2289</v>
      </c>
      <c r="G99" s="3015" t="s">
        <v>2493</v>
      </c>
      <c r="H99" s="3015" t="s">
        <v>28</v>
      </c>
      <c r="I99" s="3015" t="s">
        <v>886</v>
      </c>
    </row>
    <row r="100" spans="1:9" ht="11.25" customHeight="1">
      <c r="A100" s="3015" t="s">
        <v>2280</v>
      </c>
      <c r="B100" s="3015" t="s">
        <v>16</v>
      </c>
      <c r="C100" s="3015" t="s">
        <v>2494</v>
      </c>
      <c r="D100" s="3015" t="s">
        <v>2495</v>
      </c>
      <c r="E100" s="3015" t="s">
        <v>2496</v>
      </c>
      <c r="F100" s="3015" t="s">
        <v>2345</v>
      </c>
      <c r="G100" s="3015" t="s">
        <v>2497</v>
      </c>
      <c r="H100" s="3015" t="s">
        <v>28</v>
      </c>
      <c r="I100" s="3015" t="s">
        <v>886</v>
      </c>
    </row>
    <row r="101" spans="1:9" ht="11.25" customHeight="1">
      <c r="A101" s="3015" t="s">
        <v>2280</v>
      </c>
      <c r="B101" s="3015" t="s">
        <v>16</v>
      </c>
      <c r="C101" s="3015" t="s">
        <v>2498</v>
      </c>
      <c r="D101" s="3015" t="s">
        <v>2499</v>
      </c>
      <c r="E101" s="3015" t="s">
        <v>2500</v>
      </c>
      <c r="F101" s="3015" t="s">
        <v>2357</v>
      </c>
      <c r="G101" s="3015" t="s">
        <v>2470</v>
      </c>
      <c r="H101" s="3015" t="s">
        <v>28</v>
      </c>
      <c r="I101" s="3015" t="s">
        <v>886</v>
      </c>
    </row>
    <row r="102" spans="1:9" ht="11.25" customHeight="1">
      <c r="A102" s="3015" t="s">
        <v>2280</v>
      </c>
      <c r="B102" s="3015" t="s">
        <v>16</v>
      </c>
      <c r="C102" s="3015" t="s">
        <v>2338</v>
      </c>
      <c r="D102" s="3015" t="s">
        <v>2339</v>
      </c>
      <c r="E102" s="3015" t="s">
        <v>2340</v>
      </c>
      <c r="F102" s="3015" t="s">
        <v>2341</v>
      </c>
      <c r="G102" s="3015" t="s">
        <v>28</v>
      </c>
      <c r="H102" s="3015" t="s">
        <v>28</v>
      </c>
      <c r="I102" s="3015" t="s">
        <v>886</v>
      </c>
    </row>
    <row r="103" spans="1:9" ht="11.25" customHeight="1">
      <c r="A103" s="3015" t="s">
        <v>2280</v>
      </c>
      <c r="B103" s="3015" t="s">
        <v>16</v>
      </c>
      <c r="C103" s="3015" t="s">
        <v>2342</v>
      </c>
      <c r="D103" s="3015" t="s">
        <v>2343</v>
      </c>
      <c r="E103" s="3015" t="s">
        <v>2344</v>
      </c>
      <c r="F103" s="3015" t="s">
        <v>2345</v>
      </c>
      <c r="G103" s="3015" t="s">
        <v>2346</v>
      </c>
      <c r="H103" s="3015" t="s">
        <v>28</v>
      </c>
      <c r="I103" s="3015" t="s">
        <v>886</v>
      </c>
    </row>
    <row r="104" spans="1:9" ht="11.25" customHeight="1">
      <c r="A104" s="3015" t="s">
        <v>2280</v>
      </c>
      <c r="B104" s="3015" t="s">
        <v>16</v>
      </c>
      <c r="C104" s="3015" t="s">
        <v>2501</v>
      </c>
      <c r="D104" s="3015" t="s">
        <v>2502</v>
      </c>
      <c r="E104" s="3015" t="s">
        <v>2503</v>
      </c>
      <c r="F104" s="3015" t="s">
        <v>2316</v>
      </c>
      <c r="G104" s="3015" t="s">
        <v>2504</v>
      </c>
      <c r="H104" s="3015" t="s">
        <v>28</v>
      </c>
      <c r="I104" s="3015" t="s">
        <v>886</v>
      </c>
    </row>
    <row r="105" spans="1:9" ht="11.25" customHeight="1">
      <c r="A105" s="3015" t="s">
        <v>2280</v>
      </c>
      <c r="B105" s="3015" t="s">
        <v>16</v>
      </c>
      <c r="C105" s="3015" t="s">
        <v>2505</v>
      </c>
      <c r="D105" s="3015" t="s">
        <v>2506</v>
      </c>
      <c r="E105" s="3015" t="s">
        <v>2507</v>
      </c>
      <c r="F105" s="3015" t="s">
        <v>2357</v>
      </c>
      <c r="G105" s="3015" t="s">
        <v>2508</v>
      </c>
      <c r="H105" s="3015" t="s">
        <v>28</v>
      </c>
      <c r="I105" s="3015" t="s">
        <v>886</v>
      </c>
    </row>
    <row r="106" spans="1:9" ht="11.25" customHeight="1">
      <c r="A106" s="3015" t="s">
        <v>2280</v>
      </c>
      <c r="B106" s="3015" t="s">
        <v>16</v>
      </c>
      <c r="C106" s="3015" t="s">
        <v>2509</v>
      </c>
      <c r="D106" s="3015" t="s">
        <v>2510</v>
      </c>
      <c r="E106" s="3015" t="s">
        <v>2511</v>
      </c>
      <c r="F106" s="3015" t="s">
        <v>2345</v>
      </c>
      <c r="G106" s="3015" t="s">
        <v>28</v>
      </c>
      <c r="H106" s="3015" t="s">
        <v>28</v>
      </c>
      <c r="I106" s="3015" t="s">
        <v>886</v>
      </c>
    </row>
    <row r="107" spans="1:9" ht="11.25" customHeight="1">
      <c r="A107" s="3015" t="s">
        <v>2280</v>
      </c>
      <c r="B107" s="3015" t="s">
        <v>16</v>
      </c>
      <c r="C107" s="3015" t="s">
        <v>2512</v>
      </c>
      <c r="D107" s="3015" t="s">
        <v>2513</v>
      </c>
      <c r="E107" s="3015" t="s">
        <v>2514</v>
      </c>
      <c r="F107" s="3015" t="s">
        <v>2316</v>
      </c>
      <c r="G107" s="3015" t="s">
        <v>2515</v>
      </c>
      <c r="H107" s="3015" t="s">
        <v>28</v>
      </c>
      <c r="I107" s="3015" t="s">
        <v>886</v>
      </c>
    </row>
    <row r="108" spans="1:9" ht="11.25" customHeight="1">
      <c r="A108" s="3015" t="s">
        <v>2280</v>
      </c>
      <c r="B108" s="3015" t="s">
        <v>16</v>
      </c>
      <c r="C108" s="3015" t="s">
        <v>2516</v>
      </c>
      <c r="D108" s="3015" t="s">
        <v>2517</v>
      </c>
      <c r="E108" s="3015" t="s">
        <v>2518</v>
      </c>
      <c r="F108" s="3015" t="s">
        <v>2519</v>
      </c>
      <c r="G108" s="3015" t="s">
        <v>2520</v>
      </c>
      <c r="H108" s="3015" t="s">
        <v>28</v>
      </c>
      <c r="I108" s="3015" t="s">
        <v>886</v>
      </c>
    </row>
    <row r="109" spans="1:9" ht="11.25" customHeight="1">
      <c r="A109" s="3015" t="s">
        <v>2280</v>
      </c>
      <c r="B109" s="3015" t="s">
        <v>16</v>
      </c>
      <c r="C109" s="3015" t="s">
        <v>2521</v>
      </c>
      <c r="D109" s="3015" t="s">
        <v>2522</v>
      </c>
      <c r="E109" s="3015" t="s">
        <v>2523</v>
      </c>
      <c r="F109" s="3015" t="s">
        <v>2316</v>
      </c>
      <c r="G109" s="3015" t="s">
        <v>2524</v>
      </c>
      <c r="H109" s="3015" t="s">
        <v>28</v>
      </c>
      <c r="I109" s="3015" t="s">
        <v>886</v>
      </c>
    </row>
    <row r="110" spans="1:9" ht="11.25" customHeight="1">
      <c r="A110" s="3015" t="s">
        <v>2280</v>
      </c>
      <c r="B110" s="3015" t="s">
        <v>16</v>
      </c>
      <c r="C110" s="3015" t="s">
        <v>2354</v>
      </c>
      <c r="D110" s="3015" t="s">
        <v>2355</v>
      </c>
      <c r="E110" s="3015" t="s">
        <v>2356</v>
      </c>
      <c r="F110" s="3015" t="s">
        <v>2357</v>
      </c>
      <c r="G110" s="3015" t="s">
        <v>2358</v>
      </c>
      <c r="H110" s="3015" t="s">
        <v>28</v>
      </c>
      <c r="I110" s="3015" t="s">
        <v>886</v>
      </c>
    </row>
    <row r="111" spans="1:9" ht="11.25" customHeight="1">
      <c r="A111" s="3015" t="s">
        <v>2280</v>
      </c>
      <c r="B111" s="3015" t="s">
        <v>16</v>
      </c>
      <c r="C111" s="3015" t="s">
        <v>2525</v>
      </c>
      <c r="D111" s="3015" t="s">
        <v>2526</v>
      </c>
      <c r="E111" s="3015" t="s">
        <v>2527</v>
      </c>
      <c r="F111" s="3015" t="s">
        <v>2528</v>
      </c>
      <c r="G111" s="3015" t="s">
        <v>28</v>
      </c>
      <c r="H111" s="3015" t="s">
        <v>28</v>
      </c>
      <c r="I111" s="3015" t="s">
        <v>886</v>
      </c>
    </row>
    <row r="112" spans="1:9" ht="11.25" customHeight="1">
      <c r="A112" s="3015" t="s">
        <v>2280</v>
      </c>
      <c r="B112" s="3015" t="s">
        <v>16</v>
      </c>
      <c r="C112" s="3015" t="s">
        <v>2529</v>
      </c>
      <c r="D112" s="3015" t="s">
        <v>2530</v>
      </c>
      <c r="E112" s="3015" t="s">
        <v>2531</v>
      </c>
      <c r="F112" s="3015" t="s">
        <v>52</v>
      </c>
      <c r="G112" s="3015" t="s">
        <v>2532</v>
      </c>
      <c r="H112" s="3015" t="s">
        <v>28</v>
      </c>
      <c r="I112" s="3015" t="s">
        <v>886</v>
      </c>
    </row>
    <row r="113" spans="1:9" ht="11.25" customHeight="1">
      <c r="A113" s="3015" t="s">
        <v>2280</v>
      </c>
      <c r="B113" s="3015" t="s">
        <v>16</v>
      </c>
      <c r="C113" s="3015" t="s">
        <v>2396</v>
      </c>
      <c r="D113" s="3015" t="s">
        <v>2397</v>
      </c>
      <c r="E113" s="3015" t="s">
        <v>2398</v>
      </c>
      <c r="F113" s="3015" t="s">
        <v>2302</v>
      </c>
      <c r="G113" s="3015" t="s">
        <v>2399</v>
      </c>
      <c r="H113" s="3015" t="s">
        <v>28</v>
      </c>
      <c r="I113" s="3015" t="s">
        <v>886</v>
      </c>
    </row>
    <row r="114" spans="1:9" ht="11.25" customHeight="1">
      <c r="A114" s="3015" t="s">
        <v>2280</v>
      </c>
      <c r="B114" s="3015" t="s">
        <v>16</v>
      </c>
      <c r="C114" s="3015" t="s">
        <v>2533</v>
      </c>
      <c r="D114" s="3015" t="s">
        <v>2534</v>
      </c>
      <c r="E114" s="3015" t="s">
        <v>2535</v>
      </c>
      <c r="F114" s="3015" t="s">
        <v>2316</v>
      </c>
      <c r="G114" s="3015" t="s">
        <v>28</v>
      </c>
      <c r="H114" s="3015" t="s">
        <v>28</v>
      </c>
      <c r="I114" s="3015" t="s">
        <v>886</v>
      </c>
    </row>
    <row r="115" spans="1:9" ht="11.25" customHeight="1">
      <c r="A115" s="3015" t="s">
        <v>2280</v>
      </c>
      <c r="B115" s="3015" t="s">
        <v>16</v>
      </c>
      <c r="C115" s="3015" t="s">
        <v>2536</v>
      </c>
      <c r="D115" s="3015" t="s">
        <v>2537</v>
      </c>
      <c r="E115" s="3015" t="s">
        <v>2538</v>
      </c>
      <c r="F115" s="3015" t="s">
        <v>2345</v>
      </c>
      <c r="G115" s="3015" t="s">
        <v>2539</v>
      </c>
      <c r="H115" s="3015" t="s">
        <v>28</v>
      </c>
      <c r="I115" s="3015" t="s">
        <v>886</v>
      </c>
    </row>
    <row r="116" spans="1:9" ht="11.25" customHeight="1">
      <c r="A116" s="3015" t="s">
        <v>2280</v>
      </c>
      <c r="B116" s="3015" t="s">
        <v>16</v>
      </c>
      <c r="C116" s="3015" t="s">
        <v>2540</v>
      </c>
      <c r="D116" s="3015" t="s">
        <v>2541</v>
      </c>
      <c r="E116" s="3015" t="s">
        <v>2542</v>
      </c>
      <c r="F116" s="3015" t="s">
        <v>2341</v>
      </c>
      <c r="G116" s="3015" t="s">
        <v>28</v>
      </c>
      <c r="H116" s="3015" t="s">
        <v>28</v>
      </c>
      <c r="I116" s="3015" t="s">
        <v>886</v>
      </c>
    </row>
    <row r="117" spans="1:9" ht="11.25" customHeight="1">
      <c r="A117" s="3015" t="s">
        <v>2280</v>
      </c>
      <c r="B117" s="3015" t="s">
        <v>16</v>
      </c>
      <c r="C117" s="3015" t="s">
        <v>2416</v>
      </c>
      <c r="D117" s="3015" t="s">
        <v>2417</v>
      </c>
      <c r="E117" s="3015" t="s">
        <v>2418</v>
      </c>
      <c r="F117" s="3015" t="s">
        <v>52</v>
      </c>
      <c r="G117" s="3015" t="s">
        <v>28</v>
      </c>
      <c r="H117" s="3015" t="s">
        <v>28</v>
      </c>
      <c r="I117" s="3015" t="s">
        <v>886</v>
      </c>
    </row>
    <row r="118" spans="1:9" ht="11.25" customHeight="1">
      <c r="A118" s="3015" t="s">
        <v>2280</v>
      </c>
      <c r="B118" s="3015" t="s">
        <v>16</v>
      </c>
      <c r="C118" s="3015" t="s">
        <v>2543</v>
      </c>
      <c r="D118" s="3015" t="s">
        <v>2544</v>
      </c>
      <c r="E118" s="3015" t="s">
        <v>2545</v>
      </c>
      <c r="F118" s="3015" t="s">
        <v>2316</v>
      </c>
      <c r="G118" s="3015" t="s">
        <v>28</v>
      </c>
      <c r="H118" s="3015" t="s">
        <v>28</v>
      </c>
      <c r="I118" s="3015" t="s">
        <v>886</v>
      </c>
    </row>
    <row r="119" spans="1:9" ht="11.25" customHeight="1">
      <c r="A119" s="3015" t="s">
        <v>2280</v>
      </c>
      <c r="B119" s="3015" t="s">
        <v>16</v>
      </c>
      <c r="C119" s="3015" t="s">
        <v>2546</v>
      </c>
      <c r="D119" s="3015" t="s">
        <v>2547</v>
      </c>
      <c r="E119" s="3015" t="s">
        <v>2548</v>
      </c>
      <c r="F119" s="3015" t="s">
        <v>2316</v>
      </c>
      <c r="G119" s="3015" t="s">
        <v>28</v>
      </c>
      <c r="H119" s="3015" t="s">
        <v>28</v>
      </c>
      <c r="I119" s="3015" t="s">
        <v>886</v>
      </c>
    </row>
    <row r="120" spans="1:9" ht="11.25" customHeight="1">
      <c r="A120" s="3015" t="s">
        <v>2280</v>
      </c>
      <c r="B120" s="3015" t="s">
        <v>16</v>
      </c>
      <c r="C120" s="3015" t="s">
        <v>2549</v>
      </c>
      <c r="D120" s="3015" t="s">
        <v>2424</v>
      </c>
      <c r="E120" s="3015" t="s">
        <v>2550</v>
      </c>
      <c r="F120" s="3015" t="s">
        <v>2302</v>
      </c>
      <c r="G120" s="3015" t="s">
        <v>2551</v>
      </c>
      <c r="H120" s="3015" t="s">
        <v>28</v>
      </c>
      <c r="I120" s="3015" t="s">
        <v>886</v>
      </c>
    </row>
    <row r="121" spans="1:9" ht="11.25" customHeight="1">
      <c r="A121" s="3015" t="s">
        <v>2280</v>
      </c>
      <c r="B121" s="3015" t="s">
        <v>16</v>
      </c>
      <c r="C121" s="3015" t="s">
        <v>2434</v>
      </c>
      <c r="D121" s="3015" t="s">
        <v>2435</v>
      </c>
      <c r="E121" s="3015" t="s">
        <v>2436</v>
      </c>
      <c r="F121" s="3015" t="s">
        <v>2357</v>
      </c>
      <c r="G121" s="3015" t="s">
        <v>28</v>
      </c>
      <c r="H121" s="3015" t="s">
        <v>28</v>
      </c>
      <c r="I121" s="3015" t="s">
        <v>886</v>
      </c>
    </row>
    <row r="122" spans="1:9" ht="11.25" customHeight="1">
      <c r="A122" s="3015" t="s">
        <v>2280</v>
      </c>
      <c r="B122" s="3015" t="s">
        <v>16</v>
      </c>
      <c r="C122" s="3015" t="s">
        <v>2552</v>
      </c>
      <c r="D122" s="3015" t="s">
        <v>2553</v>
      </c>
      <c r="E122" s="3015" t="s">
        <v>2554</v>
      </c>
      <c r="F122" s="3015" t="s">
        <v>2357</v>
      </c>
      <c r="G122" s="3015" t="s">
        <v>2555</v>
      </c>
      <c r="H122" s="3015" t="s">
        <v>28</v>
      </c>
      <c r="I122" s="3015" t="s">
        <v>886</v>
      </c>
    </row>
    <row r="123" spans="1:9" ht="11.25" customHeight="1">
      <c r="A123" s="3015" t="s">
        <v>2280</v>
      </c>
      <c r="B123" s="3015" t="s">
        <v>16</v>
      </c>
      <c r="C123" s="3015" t="s">
        <v>2445</v>
      </c>
      <c r="D123" s="3015" t="s">
        <v>2446</v>
      </c>
      <c r="E123" s="3015" t="s">
        <v>2447</v>
      </c>
      <c r="F123" s="3015" t="s">
        <v>2316</v>
      </c>
      <c r="G123" s="3015" t="s">
        <v>28</v>
      </c>
      <c r="H123" s="3015" t="s">
        <v>28</v>
      </c>
      <c r="I123" s="3015" t="s">
        <v>886</v>
      </c>
    </row>
    <row r="124" spans="1:9" ht="11.25" customHeight="1">
      <c r="A124" s="3015" t="s">
        <v>2280</v>
      </c>
      <c r="B124" s="3015" t="s">
        <v>16</v>
      </c>
      <c r="C124" s="3015" t="s">
        <v>2455</v>
      </c>
      <c r="D124" s="3015" t="s">
        <v>2456</v>
      </c>
      <c r="E124" s="3015" t="s">
        <v>2457</v>
      </c>
      <c r="F124" s="3015" t="s">
        <v>2345</v>
      </c>
      <c r="G124" s="3015" t="s">
        <v>28</v>
      </c>
      <c r="H124" s="3015" t="s">
        <v>28</v>
      </c>
      <c r="I124" s="3015" t="s">
        <v>886</v>
      </c>
    </row>
    <row r="125" spans="1:9" ht="11.25" customHeight="1">
      <c r="A125" s="3015" t="s">
        <v>2280</v>
      </c>
      <c r="B125" s="3015" t="s">
        <v>16</v>
      </c>
      <c r="C125" s="3015" t="s">
        <v>28</v>
      </c>
      <c r="D125" s="3015" t="s">
        <v>2458</v>
      </c>
      <c r="E125" s="3015" t="s">
        <v>2459</v>
      </c>
      <c r="F125" s="3015" t="s">
        <v>52</v>
      </c>
      <c r="G125" s="3015" t="s">
        <v>28</v>
      </c>
      <c r="H125" s="3015" t="s">
        <v>28</v>
      </c>
      <c r="I125" s="3015" t="s">
        <v>886</v>
      </c>
    </row>
    <row r="126" spans="1:9" ht="11.25" customHeight="1">
      <c r="A126" s="3015" t="s">
        <v>2280</v>
      </c>
      <c r="B126" s="3015" t="s">
        <v>16</v>
      </c>
      <c r="C126" s="3015" t="s">
        <v>2460</v>
      </c>
      <c r="D126" s="3015" t="s">
        <v>2461</v>
      </c>
      <c r="E126" s="3015" t="s">
        <v>2462</v>
      </c>
      <c r="F126" s="3015" t="s">
        <v>52</v>
      </c>
      <c r="G126" s="3015" t="s">
        <v>2463</v>
      </c>
      <c r="H126" s="3015" t="s">
        <v>28</v>
      </c>
      <c r="I126" s="3015" t="s">
        <v>886</v>
      </c>
    </row>
    <row r="127" spans="1:9" ht="11.25" customHeight="1">
      <c r="A127" s="3015" t="s">
        <v>2280</v>
      </c>
      <c r="B127" s="3015" t="s">
        <v>16</v>
      </c>
      <c r="C127" s="3015" t="s">
        <v>2471</v>
      </c>
      <c r="D127" s="3015" t="s">
        <v>2472</v>
      </c>
      <c r="E127" s="3015" t="s">
        <v>2473</v>
      </c>
      <c r="F127" s="3015" t="s">
        <v>2414</v>
      </c>
      <c r="G127" s="3015" t="s">
        <v>2474</v>
      </c>
      <c r="H127" s="3015" t="s">
        <v>28</v>
      </c>
      <c r="I127" s="3015" t="s">
        <v>939</v>
      </c>
    </row>
    <row r="128" spans="1:9" ht="11.25" customHeight="1">
      <c r="A128" s="3015" t="s">
        <v>2280</v>
      </c>
      <c r="B128" s="3015" t="s">
        <v>16</v>
      </c>
      <c r="C128" s="3015" t="s">
        <v>2286</v>
      </c>
      <c r="D128" s="3015" t="s">
        <v>2287</v>
      </c>
      <c r="E128" s="3015" t="s">
        <v>2288</v>
      </c>
      <c r="F128" s="3015" t="s">
        <v>2289</v>
      </c>
      <c r="G128" s="3015" t="s">
        <v>2290</v>
      </c>
      <c r="H128" s="3015" t="s">
        <v>28</v>
      </c>
      <c r="I128" s="3015" t="s">
        <v>939</v>
      </c>
    </row>
    <row r="129" spans="1:9" ht="11.25" customHeight="1">
      <c r="A129" s="3015" t="s">
        <v>2280</v>
      </c>
      <c r="B129" s="3015" t="s">
        <v>16</v>
      </c>
      <c r="C129" s="3015" t="s">
        <v>2291</v>
      </c>
      <c r="D129" s="3015" t="s">
        <v>2292</v>
      </c>
      <c r="E129" s="3015" t="s">
        <v>2293</v>
      </c>
      <c r="F129" s="3015" t="s">
        <v>52</v>
      </c>
      <c r="G129" s="3015" t="s">
        <v>2294</v>
      </c>
      <c r="H129" s="3015" t="s">
        <v>28</v>
      </c>
      <c r="I129" s="3015" t="s">
        <v>939</v>
      </c>
    </row>
    <row r="130" spans="1:9" ht="11.25" customHeight="1">
      <c r="A130" s="3015" t="s">
        <v>2280</v>
      </c>
      <c r="B130" s="3015" t="s">
        <v>16</v>
      </c>
      <c r="C130" s="3015" t="s">
        <v>2299</v>
      </c>
      <c r="D130" s="3015" t="s">
        <v>2300</v>
      </c>
      <c r="E130" s="3015" t="s">
        <v>2301</v>
      </c>
      <c r="F130" s="3015" t="s">
        <v>2302</v>
      </c>
      <c r="G130" s="3015" t="s">
        <v>2303</v>
      </c>
      <c r="H130" s="3015" t="s">
        <v>28</v>
      </c>
      <c r="I130" s="3015" t="s">
        <v>939</v>
      </c>
    </row>
    <row r="131" spans="1:9" ht="11.25" customHeight="1">
      <c r="A131" s="3015" t="s">
        <v>2280</v>
      </c>
      <c r="B131" s="3015" t="s">
        <v>16</v>
      </c>
      <c r="C131" s="3015" t="s">
        <v>2304</v>
      </c>
      <c r="D131" s="3015" t="s">
        <v>2305</v>
      </c>
      <c r="E131" s="3015" t="s">
        <v>2306</v>
      </c>
      <c r="F131" s="3015" t="s">
        <v>2307</v>
      </c>
      <c r="G131" s="3015" t="s">
        <v>2308</v>
      </c>
      <c r="H131" s="3015" t="s">
        <v>28</v>
      </c>
      <c r="I131" s="3015" t="s">
        <v>939</v>
      </c>
    </row>
    <row r="132" spans="1:9" ht="11.25" customHeight="1">
      <c r="A132" s="3015" t="s">
        <v>2280</v>
      </c>
      <c r="B132" s="3015" t="s">
        <v>16</v>
      </c>
      <c r="C132" s="3015" t="s">
        <v>2309</v>
      </c>
      <c r="D132" s="3015" t="s">
        <v>2310</v>
      </c>
      <c r="E132" s="3015" t="s">
        <v>2311</v>
      </c>
      <c r="F132" s="3015" t="s">
        <v>52</v>
      </c>
      <c r="G132" s="3015" t="s">
        <v>2312</v>
      </c>
      <c r="H132" s="3015" t="s">
        <v>28</v>
      </c>
      <c r="I132" s="3015" t="s">
        <v>939</v>
      </c>
    </row>
    <row r="133" spans="1:9" ht="11.25" customHeight="1">
      <c r="A133" s="3015" t="s">
        <v>2280</v>
      </c>
      <c r="B133" s="3015" t="s">
        <v>16</v>
      </c>
      <c r="C133" s="3015" t="s">
        <v>2556</v>
      </c>
      <c r="D133" s="3015" t="s">
        <v>2557</v>
      </c>
      <c r="E133" s="3015" t="s">
        <v>2558</v>
      </c>
      <c r="F133" s="3015" t="s">
        <v>2528</v>
      </c>
      <c r="G133" s="3015" t="s">
        <v>28</v>
      </c>
      <c r="H133" s="3015" t="s">
        <v>28</v>
      </c>
      <c r="I133" s="3015" t="s">
        <v>939</v>
      </c>
    </row>
    <row r="134" spans="1:9" ht="11.25" customHeight="1">
      <c r="A134" s="3015" t="s">
        <v>2280</v>
      </c>
      <c r="B134" s="3015" t="s">
        <v>16</v>
      </c>
      <c r="C134" s="3015" t="s">
        <v>2321</v>
      </c>
      <c r="D134" s="3015" t="s">
        <v>2322</v>
      </c>
      <c r="E134" s="3015" t="s">
        <v>2323</v>
      </c>
      <c r="F134" s="3015" t="s">
        <v>52</v>
      </c>
      <c r="G134" s="3015" t="s">
        <v>2324</v>
      </c>
      <c r="H134" s="3015" t="s">
        <v>28</v>
      </c>
      <c r="I134" s="3015" t="s">
        <v>939</v>
      </c>
    </row>
    <row r="135" spans="1:9" ht="11.25" customHeight="1">
      <c r="A135" s="3015" t="s">
        <v>2280</v>
      </c>
      <c r="B135" s="3015" t="s">
        <v>16</v>
      </c>
      <c r="C135" s="3015" t="s">
        <v>2478</v>
      </c>
      <c r="D135" s="3015" t="s">
        <v>2479</v>
      </c>
      <c r="E135" s="3015" t="s">
        <v>2480</v>
      </c>
      <c r="F135" s="3015" t="s">
        <v>52</v>
      </c>
      <c r="G135" s="3015" t="s">
        <v>2481</v>
      </c>
      <c r="H135" s="3015" t="s">
        <v>28</v>
      </c>
      <c r="I135" s="3015" t="s">
        <v>939</v>
      </c>
    </row>
    <row r="136" spans="1:9" ht="11.25" customHeight="1">
      <c r="A136" s="3015" t="s">
        <v>2280</v>
      </c>
      <c r="B136" s="3015" t="s">
        <v>16</v>
      </c>
      <c r="C136" s="3015" t="s">
        <v>2334</v>
      </c>
      <c r="D136" s="3015" t="s">
        <v>2335</v>
      </c>
      <c r="E136" s="3015" t="s">
        <v>2336</v>
      </c>
      <c r="F136" s="3015" t="s">
        <v>2316</v>
      </c>
      <c r="G136" s="3015" t="s">
        <v>2337</v>
      </c>
      <c r="H136" s="3015" t="s">
        <v>28</v>
      </c>
      <c r="I136" s="3015" t="s">
        <v>939</v>
      </c>
    </row>
    <row r="137" spans="1:9" ht="11.25" customHeight="1">
      <c r="A137" s="3015" t="s">
        <v>2280</v>
      </c>
      <c r="B137" s="3015" t="s">
        <v>16</v>
      </c>
      <c r="C137" s="3015" t="s">
        <v>2482</v>
      </c>
      <c r="D137" s="3015" t="s">
        <v>2483</v>
      </c>
      <c r="E137" s="3015" t="s">
        <v>2484</v>
      </c>
      <c r="F137" s="3015" t="s">
        <v>2345</v>
      </c>
      <c r="G137" s="3015" t="s">
        <v>2485</v>
      </c>
      <c r="H137" s="3015" t="s">
        <v>28</v>
      </c>
      <c r="I137" s="3015" t="s">
        <v>939</v>
      </c>
    </row>
    <row r="138" spans="1:9" ht="11.25" customHeight="1">
      <c r="A138" s="3015" t="s">
        <v>2280</v>
      </c>
      <c r="B138" s="3015" t="s">
        <v>16</v>
      </c>
      <c r="C138" s="3015" t="s">
        <v>2486</v>
      </c>
      <c r="D138" s="3015" t="s">
        <v>2487</v>
      </c>
      <c r="E138" s="3015" t="s">
        <v>2488</v>
      </c>
      <c r="F138" s="3015" t="s">
        <v>2316</v>
      </c>
      <c r="G138" s="3015" t="s">
        <v>2489</v>
      </c>
      <c r="H138" s="3015" t="s">
        <v>28</v>
      </c>
      <c r="I138" s="3015" t="s">
        <v>939</v>
      </c>
    </row>
    <row r="139" spans="1:9" ht="11.25" customHeight="1">
      <c r="A139" s="3015" t="s">
        <v>2280</v>
      </c>
      <c r="B139" s="3015" t="s">
        <v>16</v>
      </c>
      <c r="C139" s="3015" t="s">
        <v>2490</v>
      </c>
      <c r="D139" s="3015" t="s">
        <v>2491</v>
      </c>
      <c r="E139" s="3015" t="s">
        <v>2492</v>
      </c>
      <c r="F139" s="3015" t="s">
        <v>2289</v>
      </c>
      <c r="G139" s="3015" t="s">
        <v>2493</v>
      </c>
      <c r="H139" s="3015" t="s">
        <v>28</v>
      </c>
      <c r="I139" s="3015" t="s">
        <v>939</v>
      </c>
    </row>
    <row r="140" spans="1:9" ht="11.25" customHeight="1">
      <c r="A140" s="3015" t="s">
        <v>2280</v>
      </c>
      <c r="B140" s="3015" t="s">
        <v>16</v>
      </c>
      <c r="C140" s="3015" t="s">
        <v>2494</v>
      </c>
      <c r="D140" s="3015" t="s">
        <v>2495</v>
      </c>
      <c r="E140" s="3015" t="s">
        <v>2496</v>
      </c>
      <c r="F140" s="3015" t="s">
        <v>2345</v>
      </c>
      <c r="G140" s="3015" t="s">
        <v>2497</v>
      </c>
      <c r="H140" s="3015" t="s">
        <v>28</v>
      </c>
      <c r="I140" s="3015" t="s">
        <v>939</v>
      </c>
    </row>
    <row r="141" spans="1:9" ht="11.25" customHeight="1">
      <c r="A141" s="3015" t="s">
        <v>2280</v>
      </c>
      <c r="B141" s="3015" t="s">
        <v>16</v>
      </c>
      <c r="C141" s="3015" t="s">
        <v>2498</v>
      </c>
      <c r="D141" s="3015" t="s">
        <v>2499</v>
      </c>
      <c r="E141" s="3015" t="s">
        <v>2500</v>
      </c>
      <c r="F141" s="3015" t="s">
        <v>2357</v>
      </c>
      <c r="G141" s="3015" t="s">
        <v>2470</v>
      </c>
      <c r="H141" s="3015" t="s">
        <v>28</v>
      </c>
      <c r="I141" s="3015" t="s">
        <v>939</v>
      </c>
    </row>
    <row r="142" spans="1:9" ht="11.25" customHeight="1">
      <c r="A142" s="3015" t="s">
        <v>2280</v>
      </c>
      <c r="B142" s="3015" t="s">
        <v>16</v>
      </c>
      <c r="C142" s="3015" t="s">
        <v>2338</v>
      </c>
      <c r="D142" s="3015" t="s">
        <v>2339</v>
      </c>
      <c r="E142" s="3015" t="s">
        <v>2340</v>
      </c>
      <c r="F142" s="3015" t="s">
        <v>2341</v>
      </c>
      <c r="G142" s="3015" t="s">
        <v>28</v>
      </c>
      <c r="H142" s="3015" t="s">
        <v>28</v>
      </c>
      <c r="I142" s="3015" t="s">
        <v>939</v>
      </c>
    </row>
    <row r="143" spans="1:9" ht="11.25" customHeight="1">
      <c r="A143" s="3015" t="s">
        <v>2280</v>
      </c>
      <c r="B143" s="3015" t="s">
        <v>16</v>
      </c>
      <c r="C143" s="3015" t="s">
        <v>2342</v>
      </c>
      <c r="D143" s="3015" t="s">
        <v>2343</v>
      </c>
      <c r="E143" s="3015" t="s">
        <v>2344</v>
      </c>
      <c r="F143" s="3015" t="s">
        <v>2345</v>
      </c>
      <c r="G143" s="3015" t="s">
        <v>2346</v>
      </c>
      <c r="H143" s="3015" t="s">
        <v>28</v>
      </c>
      <c r="I143" s="3015" t="s">
        <v>939</v>
      </c>
    </row>
    <row r="144" spans="1:9" ht="11.25" customHeight="1">
      <c r="A144" s="3015" t="s">
        <v>2280</v>
      </c>
      <c r="B144" s="3015" t="s">
        <v>16</v>
      </c>
      <c r="C144" s="3015" t="s">
        <v>2501</v>
      </c>
      <c r="D144" s="3015" t="s">
        <v>2502</v>
      </c>
      <c r="E144" s="3015" t="s">
        <v>2503</v>
      </c>
      <c r="F144" s="3015" t="s">
        <v>2316</v>
      </c>
      <c r="G144" s="3015" t="s">
        <v>2504</v>
      </c>
      <c r="H144" s="3015" t="s">
        <v>28</v>
      </c>
      <c r="I144" s="3015" t="s">
        <v>939</v>
      </c>
    </row>
    <row r="145" spans="1:9" ht="11.25" customHeight="1">
      <c r="A145" s="3015" t="s">
        <v>2280</v>
      </c>
      <c r="B145" s="3015" t="s">
        <v>16</v>
      </c>
      <c r="C145" s="3015" t="s">
        <v>2505</v>
      </c>
      <c r="D145" s="3015" t="s">
        <v>2506</v>
      </c>
      <c r="E145" s="3015" t="s">
        <v>2507</v>
      </c>
      <c r="F145" s="3015" t="s">
        <v>2357</v>
      </c>
      <c r="G145" s="3015" t="s">
        <v>2508</v>
      </c>
      <c r="H145" s="3015" t="s">
        <v>28</v>
      </c>
      <c r="I145" s="3015" t="s">
        <v>939</v>
      </c>
    </row>
    <row r="146" spans="1:9" ht="11.25" customHeight="1">
      <c r="A146" s="3015" t="s">
        <v>2280</v>
      </c>
      <c r="B146" s="3015" t="s">
        <v>16</v>
      </c>
      <c r="C146" s="3015" t="s">
        <v>2509</v>
      </c>
      <c r="D146" s="3015" t="s">
        <v>2510</v>
      </c>
      <c r="E146" s="3015" t="s">
        <v>2511</v>
      </c>
      <c r="F146" s="3015" t="s">
        <v>2345</v>
      </c>
      <c r="G146" s="3015" t="s">
        <v>28</v>
      </c>
      <c r="H146" s="3015" t="s">
        <v>28</v>
      </c>
      <c r="I146" s="3015" t="s">
        <v>939</v>
      </c>
    </row>
    <row r="147" spans="1:9" ht="11.25" customHeight="1">
      <c r="A147" s="3015" t="s">
        <v>2280</v>
      </c>
      <c r="B147" s="3015" t="s">
        <v>16</v>
      </c>
      <c r="C147" s="3015" t="s">
        <v>2512</v>
      </c>
      <c r="D147" s="3015" t="s">
        <v>2513</v>
      </c>
      <c r="E147" s="3015" t="s">
        <v>2514</v>
      </c>
      <c r="F147" s="3015" t="s">
        <v>2316</v>
      </c>
      <c r="G147" s="3015" t="s">
        <v>2515</v>
      </c>
      <c r="H147" s="3015" t="s">
        <v>28</v>
      </c>
      <c r="I147" s="3015" t="s">
        <v>939</v>
      </c>
    </row>
    <row r="148" spans="1:9" ht="11.25" customHeight="1">
      <c r="A148" s="3015" t="s">
        <v>2280</v>
      </c>
      <c r="B148" s="3015" t="s">
        <v>16</v>
      </c>
      <c r="C148" s="3015" t="s">
        <v>2516</v>
      </c>
      <c r="D148" s="3015" t="s">
        <v>2517</v>
      </c>
      <c r="E148" s="3015" t="s">
        <v>2518</v>
      </c>
      <c r="F148" s="3015" t="s">
        <v>2519</v>
      </c>
      <c r="G148" s="3015" t="s">
        <v>2520</v>
      </c>
      <c r="H148" s="3015" t="s">
        <v>28</v>
      </c>
      <c r="I148" s="3015" t="s">
        <v>939</v>
      </c>
    </row>
    <row r="149" spans="1:9" ht="11.25" customHeight="1">
      <c r="A149" s="3015" t="s">
        <v>2280</v>
      </c>
      <c r="B149" s="3015" t="s">
        <v>16</v>
      </c>
      <c r="C149" s="3015" t="s">
        <v>2521</v>
      </c>
      <c r="D149" s="3015" t="s">
        <v>2522</v>
      </c>
      <c r="E149" s="3015" t="s">
        <v>2523</v>
      </c>
      <c r="F149" s="3015" t="s">
        <v>2316</v>
      </c>
      <c r="G149" s="3015" t="s">
        <v>2524</v>
      </c>
      <c r="H149" s="3015" t="s">
        <v>28</v>
      </c>
      <c r="I149" s="3015" t="s">
        <v>939</v>
      </c>
    </row>
    <row r="150" spans="1:9" ht="11.25" customHeight="1">
      <c r="A150" s="3015" t="s">
        <v>2280</v>
      </c>
      <c r="B150" s="3015" t="s">
        <v>16</v>
      </c>
      <c r="C150" s="3015" t="s">
        <v>2559</v>
      </c>
      <c r="D150" s="3015" t="s">
        <v>2560</v>
      </c>
      <c r="E150" s="3015" t="s">
        <v>2561</v>
      </c>
      <c r="F150" s="3015" t="s">
        <v>52</v>
      </c>
      <c r="G150" s="3015" t="s">
        <v>28</v>
      </c>
      <c r="H150" s="3015" t="s">
        <v>28</v>
      </c>
      <c r="I150" s="3015" t="s">
        <v>939</v>
      </c>
    </row>
    <row r="151" spans="1:9" ht="11.25" customHeight="1">
      <c r="A151" s="3015" t="s">
        <v>2280</v>
      </c>
      <c r="B151" s="3015" t="s">
        <v>16</v>
      </c>
      <c r="C151" s="3015" t="s">
        <v>2533</v>
      </c>
      <c r="D151" s="3015" t="s">
        <v>2534</v>
      </c>
      <c r="E151" s="3015" t="s">
        <v>2535</v>
      </c>
      <c r="F151" s="3015" t="s">
        <v>2316</v>
      </c>
      <c r="G151" s="3015" t="s">
        <v>28</v>
      </c>
      <c r="H151" s="3015" t="s">
        <v>28</v>
      </c>
      <c r="I151" s="3015" t="s">
        <v>939</v>
      </c>
    </row>
    <row r="152" spans="1:9" ht="11.25" customHeight="1">
      <c r="A152" s="3015" t="s">
        <v>2280</v>
      </c>
      <c r="B152" s="3015" t="s">
        <v>16</v>
      </c>
      <c r="C152" s="3015" t="s">
        <v>2562</v>
      </c>
      <c r="D152" s="3015" t="s">
        <v>2563</v>
      </c>
      <c r="E152" s="3015" t="s">
        <v>2564</v>
      </c>
      <c r="F152" s="3015" t="s">
        <v>52</v>
      </c>
      <c r="G152" s="3015" t="s">
        <v>28</v>
      </c>
      <c r="H152" s="3015" t="s">
        <v>28</v>
      </c>
      <c r="I152" s="3015" t="s">
        <v>939</v>
      </c>
    </row>
    <row r="153" spans="1:9" ht="11.25" customHeight="1">
      <c r="A153" s="3015" t="s">
        <v>2280</v>
      </c>
      <c r="B153" s="3015" t="s">
        <v>16</v>
      </c>
      <c r="C153" s="3015" t="s">
        <v>2536</v>
      </c>
      <c r="D153" s="3015" t="s">
        <v>2537</v>
      </c>
      <c r="E153" s="3015" t="s">
        <v>2538</v>
      </c>
      <c r="F153" s="3015" t="s">
        <v>2345</v>
      </c>
      <c r="G153" s="3015" t="s">
        <v>2539</v>
      </c>
      <c r="H153" s="3015" t="s">
        <v>28</v>
      </c>
      <c r="I153" s="3015" t="s">
        <v>939</v>
      </c>
    </row>
    <row r="154" spans="1:9" ht="11.25" customHeight="1">
      <c r="A154" s="3015" t="s">
        <v>2280</v>
      </c>
      <c r="B154" s="3015" t="s">
        <v>16</v>
      </c>
      <c r="C154" s="3015" t="s">
        <v>2540</v>
      </c>
      <c r="D154" s="3015" t="s">
        <v>2541</v>
      </c>
      <c r="E154" s="3015" t="s">
        <v>2542</v>
      </c>
      <c r="F154" s="3015" t="s">
        <v>2341</v>
      </c>
      <c r="G154" s="3015" t="s">
        <v>28</v>
      </c>
      <c r="H154" s="3015" t="s">
        <v>28</v>
      </c>
      <c r="I154" s="3015" t="s">
        <v>939</v>
      </c>
    </row>
    <row r="155" spans="1:9" ht="11.25" customHeight="1">
      <c r="A155" s="3015" t="s">
        <v>2280</v>
      </c>
      <c r="B155" s="3015" t="s">
        <v>16</v>
      </c>
      <c r="C155" s="3015" t="s">
        <v>2416</v>
      </c>
      <c r="D155" s="3015" t="s">
        <v>2417</v>
      </c>
      <c r="E155" s="3015" t="s">
        <v>2418</v>
      </c>
      <c r="F155" s="3015" t="s">
        <v>52</v>
      </c>
      <c r="G155" s="3015" t="s">
        <v>28</v>
      </c>
      <c r="H155" s="3015" t="s">
        <v>28</v>
      </c>
      <c r="I155" s="3015" t="s">
        <v>939</v>
      </c>
    </row>
    <row r="156" spans="1:9" ht="11.25" customHeight="1">
      <c r="A156" s="3015" t="s">
        <v>2280</v>
      </c>
      <c r="B156" s="3015" t="s">
        <v>16</v>
      </c>
      <c r="C156" s="3015" t="s">
        <v>2543</v>
      </c>
      <c r="D156" s="3015" t="s">
        <v>2544</v>
      </c>
      <c r="E156" s="3015" t="s">
        <v>2545</v>
      </c>
      <c r="F156" s="3015" t="s">
        <v>2316</v>
      </c>
      <c r="G156" s="3015" t="s">
        <v>28</v>
      </c>
      <c r="H156" s="3015" t="s">
        <v>28</v>
      </c>
      <c r="I156" s="3015" t="s">
        <v>939</v>
      </c>
    </row>
    <row r="157" spans="1:9" ht="11.25" customHeight="1">
      <c r="A157" s="3015" t="s">
        <v>2280</v>
      </c>
      <c r="B157" s="3015" t="s">
        <v>16</v>
      </c>
      <c r="C157" s="3015" t="s">
        <v>2434</v>
      </c>
      <c r="D157" s="3015" t="s">
        <v>2435</v>
      </c>
      <c r="E157" s="3015" t="s">
        <v>2436</v>
      </c>
      <c r="F157" s="3015" t="s">
        <v>2357</v>
      </c>
      <c r="G157" s="3015" t="s">
        <v>28</v>
      </c>
      <c r="H157" s="3015" t="s">
        <v>28</v>
      </c>
      <c r="I157" s="3015" t="s">
        <v>939</v>
      </c>
    </row>
    <row r="158" spans="1:9" ht="11.25" customHeight="1">
      <c r="A158" s="3015" t="s">
        <v>2280</v>
      </c>
      <c r="B158" s="3015" t="s">
        <v>16</v>
      </c>
      <c r="C158" s="3015" t="s">
        <v>2445</v>
      </c>
      <c r="D158" s="3015" t="s">
        <v>2446</v>
      </c>
      <c r="E158" s="3015" t="s">
        <v>2447</v>
      </c>
      <c r="F158" s="3015" t="s">
        <v>2316</v>
      </c>
      <c r="G158" s="3015" t="s">
        <v>28</v>
      </c>
      <c r="H158" s="3015" t="s">
        <v>28</v>
      </c>
      <c r="I158" s="3015" t="s">
        <v>939</v>
      </c>
    </row>
    <row r="159" spans="1:9" ht="11.25" customHeight="1">
      <c r="A159" s="3015" t="s">
        <v>2280</v>
      </c>
      <c r="B159" s="3015" t="s">
        <v>16</v>
      </c>
      <c r="C159" s="3015" t="s">
        <v>2455</v>
      </c>
      <c r="D159" s="3015" t="s">
        <v>2456</v>
      </c>
      <c r="E159" s="3015" t="s">
        <v>2457</v>
      </c>
      <c r="F159" s="3015" t="s">
        <v>2345</v>
      </c>
      <c r="G159" s="3015" t="s">
        <v>28</v>
      </c>
      <c r="H159" s="3015" t="s">
        <v>28</v>
      </c>
      <c r="I159" s="3015" t="s">
        <v>939</v>
      </c>
    </row>
    <row r="160" spans="1:9" ht="11.25" customHeight="1">
      <c r="A160" s="3015" t="s">
        <v>2280</v>
      </c>
      <c r="B160" s="3015" t="s">
        <v>16</v>
      </c>
      <c r="C160" s="3015" t="s">
        <v>28</v>
      </c>
      <c r="D160" s="3015" t="s">
        <v>2458</v>
      </c>
      <c r="E160" s="3015" t="s">
        <v>2459</v>
      </c>
      <c r="F160" s="3015" t="s">
        <v>52</v>
      </c>
      <c r="G160" s="3015" t="s">
        <v>28</v>
      </c>
      <c r="H160" s="3015" t="s">
        <v>28</v>
      </c>
      <c r="I160" s="3015" t="s">
        <v>939</v>
      </c>
    </row>
    <row r="161" spans="1:9" ht="11.25" customHeight="1">
      <c r="A161" s="3015" t="s">
        <v>2280</v>
      </c>
      <c r="B161" s="3015" t="s">
        <v>16</v>
      </c>
      <c r="C161" s="3015" t="s">
        <v>2565</v>
      </c>
      <c r="D161" s="3015" t="s">
        <v>2566</v>
      </c>
      <c r="E161" s="3015" t="s">
        <v>2567</v>
      </c>
      <c r="F161" s="3015" t="s">
        <v>2414</v>
      </c>
      <c r="G161" s="3015" t="s">
        <v>2568</v>
      </c>
      <c r="H161" s="3015" t="s">
        <v>28</v>
      </c>
      <c r="I161" s="3015" t="s">
        <v>1651</v>
      </c>
    </row>
    <row r="162" spans="1:9" ht="11.25" customHeight="1">
      <c r="A162" s="3015" t="s">
        <v>2280</v>
      </c>
      <c r="B162" s="3015" t="s">
        <v>16</v>
      </c>
      <c r="C162" s="3015" t="s">
        <v>2569</v>
      </c>
      <c r="D162" s="3015" t="s">
        <v>2570</v>
      </c>
      <c r="E162" s="3015" t="s">
        <v>2571</v>
      </c>
      <c r="F162" s="3015" t="s">
        <v>2528</v>
      </c>
      <c r="G162" s="3015" t="s">
        <v>2572</v>
      </c>
      <c r="H162" s="3015" t="s">
        <v>28</v>
      </c>
      <c r="I162" s="3015" t="s">
        <v>1651</v>
      </c>
    </row>
    <row r="163" spans="1:9" ht="11.25" customHeight="1">
      <c r="A163" s="3015" t="s">
        <v>2280</v>
      </c>
      <c r="B163" s="3015" t="s">
        <v>16</v>
      </c>
      <c r="C163" s="3015" t="s">
        <v>2516</v>
      </c>
      <c r="D163" s="3015" t="s">
        <v>2517</v>
      </c>
      <c r="E163" s="3015" t="s">
        <v>2518</v>
      </c>
      <c r="F163" s="3015" t="s">
        <v>2519</v>
      </c>
      <c r="G163" s="3015" t="s">
        <v>2520</v>
      </c>
      <c r="H163" s="3015" t="s">
        <v>28</v>
      </c>
      <c r="I163" s="3015" t="s">
        <v>1651</v>
      </c>
    </row>
    <row r="164" spans="1:9" ht="11.25" customHeight="1">
      <c r="A164" s="3015" t="s">
        <v>2280</v>
      </c>
      <c r="B164" s="3015" t="s">
        <v>16</v>
      </c>
      <c r="C164" s="3015" t="s">
        <v>2573</v>
      </c>
      <c r="D164" s="3015" t="s">
        <v>2574</v>
      </c>
      <c r="E164" s="3015" t="s">
        <v>2575</v>
      </c>
      <c r="F164" s="3015" t="s">
        <v>2289</v>
      </c>
      <c r="G164" s="3015" t="s">
        <v>28</v>
      </c>
      <c r="H164" s="3015" t="s">
        <v>28</v>
      </c>
      <c r="I164" s="3015" t="s">
        <v>1651</v>
      </c>
    </row>
    <row r="165" spans="1:9" ht="11.25" customHeight="1">
      <c r="A165" s="3015" t="s">
        <v>2280</v>
      </c>
      <c r="B165" s="3015" t="s">
        <v>16</v>
      </c>
      <c r="C165" s="3015" t="s">
        <v>2576</v>
      </c>
      <c r="D165" s="3015" t="s">
        <v>2577</v>
      </c>
      <c r="E165" s="3015" t="s">
        <v>2578</v>
      </c>
      <c r="F165" s="3015" t="s">
        <v>2316</v>
      </c>
      <c r="G165" s="3015" t="s">
        <v>28</v>
      </c>
      <c r="H165" s="3015" t="s">
        <v>28</v>
      </c>
      <c r="I165" s="3015" t="s">
        <v>1651</v>
      </c>
    </row>
    <row r="166" spans="1:9" ht="11.25" customHeight="1">
      <c r="A166" s="3015" t="s">
        <v>2280</v>
      </c>
      <c r="B166" s="3015" t="s">
        <v>16</v>
      </c>
      <c r="C166" s="3015" t="s">
        <v>2579</v>
      </c>
      <c r="D166" s="3015" t="s">
        <v>2580</v>
      </c>
      <c r="E166" s="3015" t="s">
        <v>2581</v>
      </c>
      <c r="F166" s="3015" t="s">
        <v>2316</v>
      </c>
      <c r="G166" s="3015" t="s">
        <v>2582</v>
      </c>
      <c r="H166" s="3015" t="s">
        <v>28</v>
      </c>
      <c r="I166" s="3015" t="s">
        <v>1651</v>
      </c>
    </row>
    <row r="167" spans="1:9" ht="11.25" customHeight="1">
      <c r="A167" s="3015" t="s">
        <v>2280</v>
      </c>
      <c r="B167" s="3015" t="s">
        <v>16</v>
      </c>
      <c r="C167" s="3015" t="s">
        <v>2423</v>
      </c>
      <c r="D167" s="3015" t="s">
        <v>2424</v>
      </c>
      <c r="E167" s="3015" t="s">
        <v>2425</v>
      </c>
      <c r="F167" s="3015" t="s">
        <v>2426</v>
      </c>
      <c r="G167" s="3015" t="s">
        <v>28</v>
      </c>
      <c r="H167" s="3015" t="s">
        <v>28</v>
      </c>
      <c r="I167" s="3015" t="s">
        <v>1651</v>
      </c>
    </row>
    <row r="168" spans="1:9" ht="11.25" customHeight="1">
      <c r="A168" s="3015" t="s">
        <v>2280</v>
      </c>
      <c r="B168" s="3015" t="s">
        <v>16</v>
      </c>
      <c r="C168" s="3015" t="s">
        <v>2583</v>
      </c>
      <c r="D168" s="3015" t="s">
        <v>2584</v>
      </c>
      <c r="E168" s="3015" t="s">
        <v>2585</v>
      </c>
      <c r="F168" s="3015" t="s">
        <v>52</v>
      </c>
      <c r="G168" s="3015" t="s">
        <v>2586</v>
      </c>
      <c r="H168" s="3015" t="s">
        <v>28</v>
      </c>
      <c r="I168" s="3015" t="s">
        <v>1651</v>
      </c>
    </row>
    <row r="169" spans="1:9" ht="11.25" customHeight="1">
      <c r="A169" s="3015" t="s">
        <v>2280</v>
      </c>
      <c r="B169" s="3015" t="s">
        <v>16</v>
      </c>
      <c r="C169" s="3015" t="s">
        <v>2587</v>
      </c>
      <c r="D169" s="3015" t="s">
        <v>2588</v>
      </c>
      <c r="E169" s="3015" t="s">
        <v>2589</v>
      </c>
      <c r="F169" s="3015" t="s">
        <v>2590</v>
      </c>
      <c r="G169" s="3015" t="s">
        <v>2591</v>
      </c>
      <c r="H169" s="3015" t="s">
        <v>28</v>
      </c>
      <c r="I169" s="3015" t="s">
        <v>1651</v>
      </c>
    </row>
    <row r="170" spans="1:9" ht="11.25" customHeight="1">
      <c r="A170" s="3015" t="s">
        <v>2280</v>
      </c>
      <c r="B170" s="3015" t="s">
        <v>16</v>
      </c>
      <c r="C170" s="3015" t="s">
        <v>2592</v>
      </c>
      <c r="D170" s="3015" t="s">
        <v>2588</v>
      </c>
      <c r="E170" s="3015" t="s">
        <v>2589</v>
      </c>
      <c r="F170" s="3015" t="s">
        <v>2316</v>
      </c>
      <c r="G170" s="3015" t="s">
        <v>2593</v>
      </c>
      <c r="H170" s="3015" t="s">
        <v>28</v>
      </c>
      <c r="I170" s="3015" t="s">
        <v>1651</v>
      </c>
    </row>
    <row r="171" spans="1:9" ht="11.25" customHeight="1">
      <c r="A171" s="3015" t="s">
        <v>2280</v>
      </c>
      <c r="B171" s="3015" t="s">
        <v>16</v>
      </c>
      <c r="C171" s="3015" t="s">
        <v>28</v>
      </c>
      <c r="D171" s="3015" t="s">
        <v>2458</v>
      </c>
      <c r="E171" s="3015" t="s">
        <v>2459</v>
      </c>
      <c r="F171" s="3015" t="s">
        <v>52</v>
      </c>
      <c r="G171" s="3015" t="s">
        <v>28</v>
      </c>
      <c r="H171" s="3015" t="s">
        <v>28</v>
      </c>
      <c r="I171" s="3015" t="s">
        <v>1651</v>
      </c>
    </row>
  </sheetData>
  <sheetProtection formatColumns="0" formatRows="0"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2BF7E6-4A6B-98F3-01E4-F4CA9CF4A0B3}">
  <sheetPr>
    <tabColor rgb="FFFFCC99"/>
  </sheetPr>
  <dimension ref="A1:G76"/>
  <sheetViews>
    <sheetView showGridLines="0" workbookViewId="0"/>
  </sheetViews>
  <sheetFormatPr defaultRowHeight="11.25" customHeight="1"/>
  <cols>
    <col min="1" max="1" width="9.09765625" style="2021"/>
  </cols>
  <sheetData>
    <row r="1" spans="1:7" ht="11.25" customHeight="1">
      <c r="A1" s="307" t="s">
        <v>2594</v>
      </c>
      <c r="B1" s="1" t="s">
        <v>2595</v>
      </c>
      <c r="C1" s="1" t="s">
        <v>2596</v>
      </c>
      <c r="D1" s="1" t="s">
        <v>2597</v>
      </c>
      <c r="E1" t="s">
        <v>2598</v>
      </c>
      <c r="F1" t="s">
        <v>2599</v>
      </c>
      <c r="G1" t="s">
        <v>2600</v>
      </c>
    </row>
    <row r="2" spans="1:7" ht="11.25" customHeight="1">
      <c r="A2" s="307" t="s">
        <v>16</v>
      </c>
      <c r="B2" t="s">
        <v>2601</v>
      </c>
      <c r="C2" t="s">
        <v>2602</v>
      </c>
      <c r="D2" t="s">
        <v>2601</v>
      </c>
      <c r="E2" t="s">
        <v>2602</v>
      </c>
      <c r="F2" t="s">
        <v>2603</v>
      </c>
      <c r="G2" t="s">
        <v>124</v>
      </c>
    </row>
    <row r="3" spans="1:7" ht="11.25" customHeight="1">
      <c r="A3" s="307" t="s">
        <v>16</v>
      </c>
      <c r="B3" t="s">
        <v>2604</v>
      </c>
      <c r="C3" t="s">
        <v>2605</v>
      </c>
      <c r="D3" t="s">
        <v>2606</v>
      </c>
      <c r="E3" t="s">
        <v>2607</v>
      </c>
      <c r="F3" t="s">
        <v>2608</v>
      </c>
      <c r="G3" t="s">
        <v>104</v>
      </c>
    </row>
    <row r="4" spans="1:7" ht="11.25" customHeight="1">
      <c r="A4" s="307" t="s">
        <v>16</v>
      </c>
      <c r="B4" t="s">
        <v>2604</v>
      </c>
      <c r="C4" t="s">
        <v>2605</v>
      </c>
      <c r="D4" t="s">
        <v>2604</v>
      </c>
      <c r="E4" t="s">
        <v>2605</v>
      </c>
      <c r="F4" t="s">
        <v>2609</v>
      </c>
      <c r="G4" t="s">
        <v>91</v>
      </c>
    </row>
    <row r="5" spans="1:7" ht="11.25" customHeight="1">
      <c r="A5" s="307" t="s">
        <v>16</v>
      </c>
      <c r="B5" t="s">
        <v>2604</v>
      </c>
      <c r="C5" t="s">
        <v>2605</v>
      </c>
      <c r="D5" t="s">
        <v>2610</v>
      </c>
      <c r="E5" t="s">
        <v>2611</v>
      </c>
      <c r="F5" t="s">
        <v>2612</v>
      </c>
      <c r="G5" t="s">
        <v>92</v>
      </c>
    </row>
    <row r="6" spans="1:7" ht="11.25" customHeight="1">
      <c r="A6" s="307" t="s">
        <v>16</v>
      </c>
      <c r="B6" t="s">
        <v>2604</v>
      </c>
      <c r="C6" t="s">
        <v>2605</v>
      </c>
      <c r="D6" t="s">
        <v>2613</v>
      </c>
      <c r="E6" t="s">
        <v>2614</v>
      </c>
      <c r="F6" t="s">
        <v>2608</v>
      </c>
      <c r="G6" t="s">
        <v>125</v>
      </c>
    </row>
    <row r="7" spans="1:7" ht="11.25" customHeight="1">
      <c r="A7" s="307" t="s">
        <v>16</v>
      </c>
      <c r="B7" t="s">
        <v>116</v>
      </c>
      <c r="C7" t="s">
        <v>117</v>
      </c>
      <c r="D7" t="s">
        <v>116</v>
      </c>
      <c r="E7" t="s">
        <v>117</v>
      </c>
      <c r="F7" t="s">
        <v>2615</v>
      </c>
      <c r="G7" t="s">
        <v>93</v>
      </c>
    </row>
    <row r="8" spans="1:7" ht="11.25" customHeight="1">
      <c r="A8" s="307" t="s">
        <v>16</v>
      </c>
      <c r="B8" t="s">
        <v>108</v>
      </c>
      <c r="C8" t="s">
        <v>2616</v>
      </c>
      <c r="D8" t="s">
        <v>2617</v>
      </c>
      <c r="E8" t="s">
        <v>2618</v>
      </c>
      <c r="F8" t="s">
        <v>2619</v>
      </c>
      <c r="G8" t="s">
        <v>94</v>
      </c>
    </row>
    <row r="9" spans="1:7" ht="11.25" customHeight="1">
      <c r="A9" s="307" t="s">
        <v>16</v>
      </c>
      <c r="B9" t="s">
        <v>108</v>
      </c>
      <c r="C9" t="s">
        <v>2616</v>
      </c>
      <c r="D9" t="s">
        <v>108</v>
      </c>
      <c r="E9" t="s">
        <v>2616</v>
      </c>
      <c r="F9" t="s">
        <v>2609</v>
      </c>
      <c r="G9" t="s">
        <v>126</v>
      </c>
    </row>
    <row r="10" spans="1:7" ht="11.25" customHeight="1">
      <c r="A10" s="307" t="s">
        <v>16</v>
      </c>
      <c r="B10" t="s">
        <v>108</v>
      </c>
      <c r="C10" t="s">
        <v>2616</v>
      </c>
      <c r="D10" t="s">
        <v>109</v>
      </c>
      <c r="E10" t="s">
        <v>110</v>
      </c>
      <c r="F10" t="s">
        <v>2620</v>
      </c>
      <c r="G10" t="s">
        <v>107</v>
      </c>
    </row>
    <row r="11" spans="1:7" ht="11.25" customHeight="1">
      <c r="A11" s="307" t="s">
        <v>16</v>
      </c>
      <c r="B11" t="s">
        <v>108</v>
      </c>
      <c r="C11" t="s">
        <v>2616</v>
      </c>
      <c r="D11" t="s">
        <v>2621</v>
      </c>
      <c r="E11" t="s">
        <v>2622</v>
      </c>
      <c r="F11" t="s">
        <v>2608</v>
      </c>
      <c r="G11" t="s">
        <v>162</v>
      </c>
    </row>
    <row r="12" spans="1:7" ht="11.25" customHeight="1">
      <c r="A12" s="307" t="s">
        <v>16</v>
      </c>
      <c r="B12" t="s">
        <v>108</v>
      </c>
      <c r="C12" t="s">
        <v>2616</v>
      </c>
      <c r="D12" t="s">
        <v>2623</v>
      </c>
      <c r="E12" t="s">
        <v>2624</v>
      </c>
      <c r="F12" t="s">
        <v>2612</v>
      </c>
      <c r="G12" t="s">
        <v>163</v>
      </c>
    </row>
    <row r="13" spans="1:7" ht="11.25" customHeight="1">
      <c r="A13" s="307" t="s">
        <v>16</v>
      </c>
      <c r="B13" t="s">
        <v>108</v>
      </c>
      <c r="C13" t="s">
        <v>2616</v>
      </c>
      <c r="D13" t="s">
        <v>2625</v>
      </c>
      <c r="E13" t="s">
        <v>2626</v>
      </c>
      <c r="F13" t="s">
        <v>2608</v>
      </c>
      <c r="G13" t="s">
        <v>164</v>
      </c>
    </row>
    <row r="14" spans="1:7" ht="11.25" customHeight="1">
      <c r="A14" s="307" t="s">
        <v>16</v>
      </c>
      <c r="B14" t="s">
        <v>108</v>
      </c>
      <c r="C14" t="s">
        <v>2616</v>
      </c>
      <c r="D14" t="s">
        <v>2627</v>
      </c>
      <c r="E14" t="s">
        <v>2628</v>
      </c>
      <c r="F14" t="s">
        <v>2608</v>
      </c>
      <c r="G14" t="s">
        <v>165</v>
      </c>
    </row>
    <row r="15" spans="1:7" ht="11.25" customHeight="1">
      <c r="A15" s="307" t="s">
        <v>16</v>
      </c>
      <c r="B15" t="s">
        <v>108</v>
      </c>
      <c r="C15" t="s">
        <v>2616</v>
      </c>
      <c r="D15" t="s">
        <v>2629</v>
      </c>
      <c r="E15" t="s">
        <v>2630</v>
      </c>
      <c r="F15" t="s">
        <v>2608</v>
      </c>
      <c r="G15" t="s">
        <v>166</v>
      </c>
    </row>
    <row r="16" spans="1:7" ht="11.25" customHeight="1">
      <c r="A16" s="307" t="s">
        <v>16</v>
      </c>
      <c r="B16" t="s">
        <v>108</v>
      </c>
      <c r="C16" t="s">
        <v>2616</v>
      </c>
      <c r="D16" t="s">
        <v>113</v>
      </c>
      <c r="E16" t="s">
        <v>114</v>
      </c>
      <c r="F16" t="s">
        <v>2608</v>
      </c>
      <c r="G16" t="s">
        <v>112</v>
      </c>
    </row>
    <row r="17" spans="1:7" ht="11.25" customHeight="1">
      <c r="A17" s="307" t="s">
        <v>16</v>
      </c>
      <c r="B17" t="s">
        <v>108</v>
      </c>
      <c r="C17" t="s">
        <v>2616</v>
      </c>
      <c r="D17" t="s">
        <v>2631</v>
      </c>
      <c r="E17" t="s">
        <v>2632</v>
      </c>
      <c r="F17" t="s">
        <v>2608</v>
      </c>
      <c r="G17" t="s">
        <v>1501</v>
      </c>
    </row>
    <row r="18" spans="1:7" ht="11.25" customHeight="1">
      <c r="A18" s="307" t="s">
        <v>16</v>
      </c>
      <c r="B18" t="s">
        <v>108</v>
      </c>
      <c r="C18" t="s">
        <v>2616</v>
      </c>
      <c r="D18" t="s">
        <v>2633</v>
      </c>
      <c r="E18" t="s">
        <v>2634</v>
      </c>
      <c r="F18" t="s">
        <v>2608</v>
      </c>
      <c r="G18" t="s">
        <v>1513</v>
      </c>
    </row>
    <row r="19" spans="1:7" ht="11.25" customHeight="1">
      <c r="A19" s="307" t="s">
        <v>16</v>
      </c>
      <c r="B19" t="s">
        <v>108</v>
      </c>
      <c r="C19" t="s">
        <v>2616</v>
      </c>
      <c r="D19" t="s">
        <v>2635</v>
      </c>
      <c r="E19" t="s">
        <v>2636</v>
      </c>
      <c r="F19" t="s">
        <v>2608</v>
      </c>
      <c r="G19" t="s">
        <v>1527</v>
      </c>
    </row>
    <row r="20" spans="1:7" ht="11.25" customHeight="1">
      <c r="A20" s="307" t="s">
        <v>16</v>
      </c>
      <c r="B20" t="s">
        <v>2637</v>
      </c>
      <c r="C20" t="s">
        <v>2638</v>
      </c>
      <c r="D20" t="s">
        <v>2637</v>
      </c>
      <c r="E20" t="s">
        <v>2638</v>
      </c>
      <c r="F20" t="s">
        <v>2609</v>
      </c>
      <c r="G20" t="s">
        <v>1539</v>
      </c>
    </row>
    <row r="21" spans="1:7" ht="11.25" customHeight="1">
      <c r="A21" s="307" t="s">
        <v>16</v>
      </c>
      <c r="B21" t="s">
        <v>2637</v>
      </c>
      <c r="C21" t="s">
        <v>2638</v>
      </c>
      <c r="D21" t="s">
        <v>2639</v>
      </c>
      <c r="E21" t="s">
        <v>2640</v>
      </c>
      <c r="F21" t="s">
        <v>2612</v>
      </c>
      <c r="G21" t="s">
        <v>1548</v>
      </c>
    </row>
    <row r="22" spans="1:7" ht="11.25" customHeight="1">
      <c r="A22" s="307" t="s">
        <v>16</v>
      </c>
      <c r="B22" t="s">
        <v>2637</v>
      </c>
      <c r="C22" t="s">
        <v>2638</v>
      </c>
      <c r="D22" t="s">
        <v>2641</v>
      </c>
      <c r="E22" t="s">
        <v>2642</v>
      </c>
      <c r="F22" t="s">
        <v>2608</v>
      </c>
      <c r="G22" t="s">
        <v>1564</v>
      </c>
    </row>
    <row r="23" spans="1:7" ht="11.25" customHeight="1">
      <c r="A23" s="307" t="s">
        <v>16</v>
      </c>
      <c r="B23" t="s">
        <v>2637</v>
      </c>
      <c r="C23" t="s">
        <v>2638</v>
      </c>
      <c r="D23" t="s">
        <v>2643</v>
      </c>
      <c r="E23" t="s">
        <v>2644</v>
      </c>
      <c r="F23" t="s">
        <v>2608</v>
      </c>
      <c r="G23" t="s">
        <v>1571</v>
      </c>
    </row>
    <row r="24" spans="1:7" ht="11.25" customHeight="1">
      <c r="A24" s="307" t="s">
        <v>16</v>
      </c>
      <c r="B24" t="s">
        <v>2637</v>
      </c>
      <c r="C24" t="s">
        <v>2638</v>
      </c>
      <c r="D24" t="s">
        <v>2645</v>
      </c>
      <c r="E24" t="s">
        <v>2646</v>
      </c>
      <c r="F24" t="s">
        <v>2608</v>
      </c>
      <c r="G24" t="s">
        <v>1578</v>
      </c>
    </row>
    <row r="25" spans="1:7" ht="11.25" customHeight="1">
      <c r="A25" s="307" t="s">
        <v>16</v>
      </c>
      <c r="B25" t="s">
        <v>2637</v>
      </c>
      <c r="C25" t="s">
        <v>2638</v>
      </c>
      <c r="D25" t="s">
        <v>2647</v>
      </c>
      <c r="E25" t="s">
        <v>2648</v>
      </c>
      <c r="F25" t="s">
        <v>2608</v>
      </c>
      <c r="G25" t="s">
        <v>1585</v>
      </c>
    </row>
    <row r="26" spans="1:7" ht="11.25" customHeight="1">
      <c r="A26" s="307" t="s">
        <v>16</v>
      </c>
      <c r="B26" t="s">
        <v>2637</v>
      </c>
      <c r="C26" t="s">
        <v>2638</v>
      </c>
      <c r="D26" t="s">
        <v>2649</v>
      </c>
      <c r="E26" t="s">
        <v>2650</v>
      </c>
      <c r="F26" t="s">
        <v>2608</v>
      </c>
      <c r="G26" t="s">
        <v>1589</v>
      </c>
    </row>
    <row r="27" spans="1:7" ht="11.25" customHeight="1">
      <c r="A27" s="307" t="s">
        <v>16</v>
      </c>
      <c r="B27" t="s">
        <v>2651</v>
      </c>
      <c r="C27" t="s">
        <v>2652</v>
      </c>
      <c r="D27" t="s">
        <v>2651</v>
      </c>
      <c r="E27" t="s">
        <v>2652</v>
      </c>
      <c r="F27" t="s">
        <v>2603</v>
      </c>
      <c r="G27" t="s">
        <v>1594</v>
      </c>
    </row>
    <row r="28" spans="1:7" ht="11.25" customHeight="1">
      <c r="A28" s="307" t="s">
        <v>16</v>
      </c>
      <c r="B28" t="s">
        <v>2653</v>
      </c>
      <c r="C28" t="s">
        <v>2654</v>
      </c>
      <c r="D28" t="s">
        <v>2655</v>
      </c>
      <c r="E28" t="s">
        <v>2656</v>
      </c>
      <c r="F28" t="s">
        <v>2608</v>
      </c>
      <c r="G28" t="s">
        <v>1602</v>
      </c>
    </row>
    <row r="29" spans="1:7" ht="11.25" customHeight="1">
      <c r="A29" s="307" t="s">
        <v>16</v>
      </c>
      <c r="B29" t="s">
        <v>2653</v>
      </c>
      <c r="C29" t="s">
        <v>2654</v>
      </c>
      <c r="D29" t="s">
        <v>2657</v>
      </c>
      <c r="E29" t="s">
        <v>2658</v>
      </c>
      <c r="F29" t="s">
        <v>2612</v>
      </c>
      <c r="G29" t="s">
        <v>1604</v>
      </c>
    </row>
    <row r="30" spans="1:7" ht="11.25" customHeight="1">
      <c r="A30" s="307" t="s">
        <v>16</v>
      </c>
      <c r="B30" t="s">
        <v>2653</v>
      </c>
      <c r="C30" t="s">
        <v>2654</v>
      </c>
      <c r="D30" t="s">
        <v>2653</v>
      </c>
      <c r="E30" t="s">
        <v>2654</v>
      </c>
      <c r="F30" t="s">
        <v>2609</v>
      </c>
      <c r="G30" t="s">
        <v>1607</v>
      </c>
    </row>
    <row r="31" spans="1:7" ht="11.25" customHeight="1">
      <c r="A31" s="307" t="s">
        <v>16</v>
      </c>
      <c r="B31" t="s">
        <v>2653</v>
      </c>
      <c r="C31" t="s">
        <v>2654</v>
      </c>
      <c r="D31" t="s">
        <v>2659</v>
      </c>
      <c r="E31" t="s">
        <v>2660</v>
      </c>
      <c r="F31" t="s">
        <v>2608</v>
      </c>
      <c r="G31" t="s">
        <v>1613</v>
      </c>
    </row>
    <row r="32" spans="1:7" ht="11.25" customHeight="1">
      <c r="A32" s="307" t="s">
        <v>16</v>
      </c>
      <c r="B32" t="s">
        <v>2661</v>
      </c>
      <c r="C32" t="s">
        <v>2662</v>
      </c>
      <c r="D32" t="s">
        <v>2663</v>
      </c>
      <c r="E32" t="s">
        <v>2664</v>
      </c>
      <c r="F32" t="s">
        <v>2612</v>
      </c>
      <c r="G32" t="s">
        <v>1615</v>
      </c>
    </row>
    <row r="33" spans="1:7" ht="11.25" customHeight="1">
      <c r="A33" s="307" t="s">
        <v>16</v>
      </c>
      <c r="B33" t="s">
        <v>2661</v>
      </c>
      <c r="C33" t="s">
        <v>2662</v>
      </c>
      <c r="D33" t="s">
        <v>2661</v>
      </c>
      <c r="E33" t="s">
        <v>2662</v>
      </c>
      <c r="F33" t="s">
        <v>2609</v>
      </c>
      <c r="G33" t="s">
        <v>1617</v>
      </c>
    </row>
    <row r="34" spans="1:7" ht="11.25" customHeight="1">
      <c r="A34" s="307" t="s">
        <v>16</v>
      </c>
      <c r="B34" t="s">
        <v>2661</v>
      </c>
      <c r="C34" t="s">
        <v>2662</v>
      </c>
      <c r="D34" t="s">
        <v>2665</v>
      </c>
      <c r="E34" t="s">
        <v>2666</v>
      </c>
      <c r="F34" t="s">
        <v>2608</v>
      </c>
      <c r="G34" t="s">
        <v>1619</v>
      </c>
    </row>
    <row r="35" spans="1:7" ht="11.25" customHeight="1">
      <c r="A35" s="307" t="s">
        <v>16</v>
      </c>
      <c r="B35" t="s">
        <v>2661</v>
      </c>
      <c r="C35" t="s">
        <v>2662</v>
      </c>
      <c r="D35" t="s">
        <v>2667</v>
      </c>
      <c r="E35" t="s">
        <v>2668</v>
      </c>
      <c r="F35" t="s">
        <v>2608</v>
      </c>
      <c r="G35" t="s">
        <v>1624</v>
      </c>
    </row>
    <row r="36" spans="1:7" ht="11.25" customHeight="1">
      <c r="A36" s="307" t="s">
        <v>16</v>
      </c>
      <c r="B36" t="s">
        <v>2661</v>
      </c>
      <c r="C36" t="s">
        <v>2662</v>
      </c>
      <c r="D36" t="s">
        <v>2669</v>
      </c>
      <c r="E36" t="s">
        <v>2670</v>
      </c>
      <c r="F36" t="s">
        <v>2608</v>
      </c>
      <c r="G36" t="s">
        <v>1629</v>
      </c>
    </row>
    <row r="37" spans="1:7" ht="11.25" customHeight="1">
      <c r="A37" s="307" t="s">
        <v>16</v>
      </c>
      <c r="B37" t="s">
        <v>2661</v>
      </c>
      <c r="C37" t="s">
        <v>2662</v>
      </c>
      <c r="D37" t="s">
        <v>2671</v>
      </c>
      <c r="E37" t="s">
        <v>2672</v>
      </c>
      <c r="F37" t="s">
        <v>2608</v>
      </c>
      <c r="G37" t="s">
        <v>1633</v>
      </c>
    </row>
    <row r="38" spans="1:7" ht="11.25" customHeight="1">
      <c r="A38" s="307" t="s">
        <v>16</v>
      </c>
      <c r="B38" t="s">
        <v>2661</v>
      </c>
      <c r="C38" t="s">
        <v>2662</v>
      </c>
      <c r="D38" t="s">
        <v>2673</v>
      </c>
      <c r="E38" t="s">
        <v>2674</v>
      </c>
      <c r="F38" t="s">
        <v>2608</v>
      </c>
      <c r="G38" t="s">
        <v>1641</v>
      </c>
    </row>
    <row r="39" spans="1:7" ht="11.25" customHeight="1">
      <c r="A39" s="307" t="s">
        <v>16</v>
      </c>
      <c r="B39" t="s">
        <v>2661</v>
      </c>
      <c r="C39" t="s">
        <v>2662</v>
      </c>
      <c r="D39" t="s">
        <v>2675</v>
      </c>
      <c r="E39" t="s">
        <v>2676</v>
      </c>
      <c r="F39" t="s">
        <v>2608</v>
      </c>
      <c r="G39" t="s">
        <v>1647</v>
      </c>
    </row>
    <row r="40" spans="1:7" ht="11.25" customHeight="1">
      <c r="A40" s="307" t="s">
        <v>16</v>
      </c>
      <c r="B40" t="s">
        <v>2661</v>
      </c>
      <c r="C40" t="s">
        <v>2662</v>
      </c>
      <c r="D40" t="s">
        <v>2677</v>
      </c>
      <c r="E40" t="s">
        <v>2678</v>
      </c>
      <c r="F40" t="s">
        <v>2608</v>
      </c>
      <c r="G40" t="s">
        <v>1652</v>
      </c>
    </row>
    <row r="41" spans="1:7" ht="11.25" customHeight="1">
      <c r="A41" s="307" t="s">
        <v>16</v>
      </c>
      <c r="B41" t="s">
        <v>2679</v>
      </c>
      <c r="C41" t="s">
        <v>2680</v>
      </c>
      <c r="D41" t="s">
        <v>2681</v>
      </c>
      <c r="E41" t="s">
        <v>2682</v>
      </c>
      <c r="F41" t="s">
        <v>2612</v>
      </c>
      <c r="G41" t="s">
        <v>1656</v>
      </c>
    </row>
    <row r="42" spans="1:7" ht="11.25" customHeight="1">
      <c r="A42" s="307" t="s">
        <v>16</v>
      </c>
      <c r="B42" t="s">
        <v>2679</v>
      </c>
      <c r="C42" t="s">
        <v>2680</v>
      </c>
      <c r="D42" t="s">
        <v>2679</v>
      </c>
      <c r="E42" t="s">
        <v>2680</v>
      </c>
      <c r="F42" t="s">
        <v>2609</v>
      </c>
      <c r="G42" t="s">
        <v>1659</v>
      </c>
    </row>
    <row r="43" spans="1:7" ht="11.25" customHeight="1">
      <c r="A43" s="307" t="s">
        <v>16</v>
      </c>
      <c r="B43" t="s">
        <v>2679</v>
      </c>
      <c r="C43" t="s">
        <v>2680</v>
      </c>
      <c r="D43" t="s">
        <v>2683</v>
      </c>
      <c r="E43" t="s">
        <v>2684</v>
      </c>
      <c r="F43" t="s">
        <v>2608</v>
      </c>
      <c r="G43" t="s">
        <v>1666</v>
      </c>
    </row>
    <row r="44" spans="1:7" ht="11.25" customHeight="1">
      <c r="A44" s="307" t="s">
        <v>16</v>
      </c>
      <c r="B44" t="s">
        <v>2679</v>
      </c>
      <c r="C44" t="s">
        <v>2680</v>
      </c>
      <c r="D44" t="s">
        <v>2685</v>
      </c>
      <c r="E44" t="s">
        <v>2686</v>
      </c>
      <c r="F44" t="s">
        <v>2608</v>
      </c>
      <c r="G44" t="s">
        <v>1675</v>
      </c>
    </row>
    <row r="45" spans="1:7" ht="11.25" customHeight="1">
      <c r="A45" s="307" t="s">
        <v>16</v>
      </c>
      <c r="B45" t="s">
        <v>2679</v>
      </c>
      <c r="C45" t="s">
        <v>2680</v>
      </c>
      <c r="D45" t="s">
        <v>2687</v>
      </c>
      <c r="E45" t="s">
        <v>2688</v>
      </c>
      <c r="F45" t="s">
        <v>2608</v>
      </c>
      <c r="G45" t="s">
        <v>1680</v>
      </c>
    </row>
    <row r="46" spans="1:7" ht="11.25" customHeight="1">
      <c r="A46" s="307" t="s">
        <v>16</v>
      </c>
      <c r="B46" t="s">
        <v>2679</v>
      </c>
      <c r="C46" t="s">
        <v>2680</v>
      </c>
      <c r="D46" t="s">
        <v>2689</v>
      </c>
      <c r="E46" t="s">
        <v>2690</v>
      </c>
      <c r="F46" t="s">
        <v>2608</v>
      </c>
      <c r="G46" t="s">
        <v>1684</v>
      </c>
    </row>
    <row r="47" spans="1:7" ht="11.25" customHeight="1">
      <c r="A47" s="307" t="s">
        <v>16</v>
      </c>
      <c r="B47" t="s">
        <v>2679</v>
      </c>
      <c r="C47" t="s">
        <v>2680</v>
      </c>
      <c r="D47" t="s">
        <v>2691</v>
      </c>
      <c r="E47" t="s">
        <v>2692</v>
      </c>
      <c r="F47" t="s">
        <v>2608</v>
      </c>
      <c r="G47" t="s">
        <v>1690</v>
      </c>
    </row>
    <row r="48" spans="1:7" ht="11.25" customHeight="1">
      <c r="A48" s="307" t="s">
        <v>16</v>
      </c>
      <c r="B48" t="s">
        <v>101</v>
      </c>
      <c r="C48" t="s">
        <v>102</v>
      </c>
      <c r="D48" t="s">
        <v>101</v>
      </c>
      <c r="E48" t="s">
        <v>102</v>
      </c>
      <c r="F48" t="s">
        <v>2615</v>
      </c>
      <c r="G48" t="s">
        <v>100</v>
      </c>
    </row>
    <row r="49" spans="1:7" ht="11.25" customHeight="1">
      <c r="A49" s="307" t="s">
        <v>16</v>
      </c>
      <c r="B49" t="s">
        <v>2693</v>
      </c>
      <c r="C49" t="s">
        <v>2694</v>
      </c>
      <c r="D49" t="s">
        <v>2695</v>
      </c>
      <c r="E49" t="s">
        <v>2696</v>
      </c>
      <c r="F49" t="s">
        <v>2608</v>
      </c>
      <c r="G49" t="s">
        <v>1697</v>
      </c>
    </row>
    <row r="50" spans="1:7" ht="11.25" customHeight="1">
      <c r="A50" s="307" t="s">
        <v>16</v>
      </c>
      <c r="B50" t="s">
        <v>2693</v>
      </c>
      <c r="C50" t="s">
        <v>2694</v>
      </c>
      <c r="D50" t="s">
        <v>2697</v>
      </c>
      <c r="E50" t="s">
        <v>2698</v>
      </c>
      <c r="F50" t="s">
        <v>2612</v>
      </c>
      <c r="G50" t="s">
        <v>1700</v>
      </c>
    </row>
    <row r="51" spans="1:7" ht="11.25" customHeight="1">
      <c r="A51" s="307" t="s">
        <v>16</v>
      </c>
      <c r="B51" t="s">
        <v>2693</v>
      </c>
      <c r="C51" t="s">
        <v>2694</v>
      </c>
      <c r="D51" t="s">
        <v>2693</v>
      </c>
      <c r="E51" t="s">
        <v>2694</v>
      </c>
      <c r="F51" t="s">
        <v>2609</v>
      </c>
      <c r="G51" t="s">
        <v>1705</v>
      </c>
    </row>
    <row r="52" spans="1:7" ht="11.25" customHeight="1">
      <c r="A52" s="307" t="s">
        <v>16</v>
      </c>
      <c r="B52" t="s">
        <v>2693</v>
      </c>
      <c r="C52" t="s">
        <v>2694</v>
      </c>
      <c r="D52" t="s">
        <v>2699</v>
      </c>
      <c r="E52" t="s">
        <v>2700</v>
      </c>
      <c r="F52" t="s">
        <v>2608</v>
      </c>
      <c r="G52" t="s">
        <v>1709</v>
      </c>
    </row>
    <row r="53" spans="1:7" ht="11.25" customHeight="1">
      <c r="A53" s="307" t="s">
        <v>16</v>
      </c>
      <c r="B53" t="s">
        <v>2693</v>
      </c>
      <c r="C53" t="s">
        <v>2694</v>
      </c>
      <c r="D53" t="s">
        <v>2701</v>
      </c>
      <c r="E53" t="s">
        <v>2702</v>
      </c>
      <c r="F53" t="s">
        <v>2608</v>
      </c>
      <c r="G53" t="s">
        <v>1711</v>
      </c>
    </row>
    <row r="54" spans="1:7" ht="11.25" customHeight="1">
      <c r="A54" s="307" t="s">
        <v>16</v>
      </c>
      <c r="B54" t="s">
        <v>2703</v>
      </c>
      <c r="C54" t="s">
        <v>2704</v>
      </c>
      <c r="D54" t="s">
        <v>2705</v>
      </c>
      <c r="E54" t="s">
        <v>2706</v>
      </c>
      <c r="F54" t="s">
        <v>2612</v>
      </c>
      <c r="G54" t="s">
        <v>1714</v>
      </c>
    </row>
    <row r="55" spans="1:7" ht="11.25" customHeight="1">
      <c r="A55" s="307" t="s">
        <v>16</v>
      </c>
      <c r="B55" t="s">
        <v>2703</v>
      </c>
      <c r="C55" t="s">
        <v>2704</v>
      </c>
      <c r="D55" t="s">
        <v>2707</v>
      </c>
      <c r="E55" t="s">
        <v>2708</v>
      </c>
      <c r="F55" t="s">
        <v>2608</v>
      </c>
      <c r="G55" t="s">
        <v>1719</v>
      </c>
    </row>
    <row r="56" spans="1:7" ht="11.25" customHeight="1">
      <c r="A56" s="307" t="s">
        <v>16</v>
      </c>
      <c r="B56" t="s">
        <v>2703</v>
      </c>
      <c r="C56" t="s">
        <v>2704</v>
      </c>
      <c r="D56" t="s">
        <v>2709</v>
      </c>
      <c r="E56" t="s">
        <v>2710</v>
      </c>
      <c r="F56" t="s">
        <v>2608</v>
      </c>
      <c r="G56" t="s">
        <v>1722</v>
      </c>
    </row>
    <row r="57" spans="1:7" ht="11.25" customHeight="1">
      <c r="A57" s="307" t="s">
        <v>16</v>
      </c>
      <c r="B57" t="s">
        <v>2703</v>
      </c>
      <c r="C57" t="s">
        <v>2704</v>
      </c>
      <c r="D57" t="s">
        <v>2711</v>
      </c>
      <c r="E57" t="s">
        <v>2712</v>
      </c>
      <c r="F57" t="s">
        <v>2608</v>
      </c>
      <c r="G57" t="s">
        <v>1725</v>
      </c>
    </row>
    <row r="58" spans="1:7" ht="11.25" customHeight="1">
      <c r="A58" s="307" t="s">
        <v>16</v>
      </c>
      <c r="B58" t="s">
        <v>2703</v>
      </c>
      <c r="C58" t="s">
        <v>2704</v>
      </c>
      <c r="D58" t="s">
        <v>2713</v>
      </c>
      <c r="E58" t="s">
        <v>2714</v>
      </c>
      <c r="F58" t="s">
        <v>2608</v>
      </c>
      <c r="G58" t="s">
        <v>1728</v>
      </c>
    </row>
    <row r="59" spans="1:7" ht="11.25" customHeight="1">
      <c r="A59" s="307" t="s">
        <v>16</v>
      </c>
      <c r="B59" t="s">
        <v>2703</v>
      </c>
      <c r="C59" t="s">
        <v>2704</v>
      </c>
      <c r="D59" t="s">
        <v>2715</v>
      </c>
      <c r="E59" t="s">
        <v>2716</v>
      </c>
      <c r="F59" t="s">
        <v>2608</v>
      </c>
      <c r="G59" t="s">
        <v>1732</v>
      </c>
    </row>
    <row r="60" spans="1:7" ht="11.25" customHeight="1">
      <c r="A60" s="307" t="s">
        <v>16</v>
      </c>
      <c r="B60" t="s">
        <v>2703</v>
      </c>
      <c r="C60" t="s">
        <v>2704</v>
      </c>
      <c r="D60" t="s">
        <v>2717</v>
      </c>
      <c r="E60" t="s">
        <v>2718</v>
      </c>
      <c r="F60" t="s">
        <v>2608</v>
      </c>
      <c r="G60" t="s">
        <v>1735</v>
      </c>
    </row>
    <row r="61" spans="1:7" ht="11.25" customHeight="1">
      <c r="A61" s="307" t="s">
        <v>16</v>
      </c>
      <c r="B61" t="s">
        <v>2703</v>
      </c>
      <c r="C61" t="s">
        <v>2704</v>
      </c>
      <c r="D61" t="s">
        <v>2719</v>
      </c>
      <c r="E61" t="s">
        <v>2720</v>
      </c>
      <c r="F61" t="s">
        <v>2608</v>
      </c>
      <c r="G61" t="s">
        <v>2721</v>
      </c>
    </row>
    <row r="62" spans="1:7" ht="11.25" customHeight="1">
      <c r="A62" s="307" t="s">
        <v>16</v>
      </c>
      <c r="B62" t="s">
        <v>2703</v>
      </c>
      <c r="C62" t="s">
        <v>2704</v>
      </c>
      <c r="D62" t="s">
        <v>2703</v>
      </c>
      <c r="E62" t="s">
        <v>2704</v>
      </c>
      <c r="F62" t="s">
        <v>2609</v>
      </c>
      <c r="G62" t="s">
        <v>2722</v>
      </c>
    </row>
    <row r="63" spans="1:7" ht="11.25" customHeight="1">
      <c r="A63" s="307" t="s">
        <v>16</v>
      </c>
      <c r="B63" t="s">
        <v>2723</v>
      </c>
      <c r="C63" t="s">
        <v>2724</v>
      </c>
      <c r="D63" t="s">
        <v>2725</v>
      </c>
      <c r="E63" t="s">
        <v>2726</v>
      </c>
      <c r="F63" t="s">
        <v>2608</v>
      </c>
      <c r="G63" t="s">
        <v>2727</v>
      </c>
    </row>
    <row r="64" spans="1:7" ht="11.25" customHeight="1">
      <c r="A64" s="307" t="s">
        <v>16</v>
      </c>
      <c r="B64" t="s">
        <v>2723</v>
      </c>
      <c r="C64" t="s">
        <v>2724</v>
      </c>
      <c r="D64" t="s">
        <v>2728</v>
      </c>
      <c r="E64" t="s">
        <v>2729</v>
      </c>
      <c r="F64" t="s">
        <v>2608</v>
      </c>
      <c r="G64" t="s">
        <v>2730</v>
      </c>
    </row>
    <row r="65" spans="1:7" ht="11.25" customHeight="1">
      <c r="A65" s="307" t="s">
        <v>16</v>
      </c>
      <c r="B65" t="s">
        <v>2723</v>
      </c>
      <c r="C65" t="s">
        <v>2724</v>
      </c>
      <c r="D65" t="s">
        <v>2731</v>
      </c>
      <c r="E65" t="s">
        <v>2732</v>
      </c>
      <c r="F65" t="s">
        <v>2608</v>
      </c>
      <c r="G65" t="s">
        <v>2733</v>
      </c>
    </row>
    <row r="66" spans="1:7" ht="11.25" customHeight="1">
      <c r="A66" s="307" t="s">
        <v>16</v>
      </c>
      <c r="B66" t="s">
        <v>2723</v>
      </c>
      <c r="C66" t="s">
        <v>2724</v>
      </c>
      <c r="D66" t="s">
        <v>2734</v>
      </c>
      <c r="E66" t="s">
        <v>2735</v>
      </c>
      <c r="F66" t="s">
        <v>2612</v>
      </c>
      <c r="G66" t="s">
        <v>2736</v>
      </c>
    </row>
    <row r="67" spans="1:7" ht="11.25" customHeight="1">
      <c r="A67" s="307" t="s">
        <v>16</v>
      </c>
      <c r="B67" t="s">
        <v>2723</v>
      </c>
      <c r="C67" t="s">
        <v>2724</v>
      </c>
      <c r="D67" t="s">
        <v>2737</v>
      </c>
      <c r="E67" t="s">
        <v>2738</v>
      </c>
      <c r="F67" t="s">
        <v>2619</v>
      </c>
      <c r="G67" t="s">
        <v>2054</v>
      </c>
    </row>
    <row r="68" spans="1:7" ht="11.25" customHeight="1">
      <c r="A68" s="307" t="s">
        <v>16</v>
      </c>
      <c r="B68" t="s">
        <v>2723</v>
      </c>
      <c r="C68" t="s">
        <v>2724</v>
      </c>
      <c r="D68" t="s">
        <v>2739</v>
      </c>
      <c r="E68" t="s">
        <v>2740</v>
      </c>
      <c r="F68" t="s">
        <v>2619</v>
      </c>
      <c r="G68" t="s">
        <v>2741</v>
      </c>
    </row>
    <row r="69" spans="1:7" ht="11.25" customHeight="1">
      <c r="A69" s="307" t="s">
        <v>16</v>
      </c>
      <c r="B69" t="s">
        <v>2723</v>
      </c>
      <c r="C69" t="s">
        <v>2724</v>
      </c>
      <c r="D69" t="s">
        <v>2723</v>
      </c>
      <c r="E69" t="s">
        <v>2724</v>
      </c>
      <c r="F69" t="s">
        <v>2609</v>
      </c>
      <c r="G69" t="s">
        <v>2257</v>
      </c>
    </row>
    <row r="70" spans="1:7" ht="11.25" customHeight="1">
      <c r="A70" s="307" t="s">
        <v>16</v>
      </c>
      <c r="B70" t="s">
        <v>2723</v>
      </c>
      <c r="C70" t="s">
        <v>2724</v>
      </c>
      <c r="D70" t="s">
        <v>2742</v>
      </c>
      <c r="E70" t="s">
        <v>2743</v>
      </c>
      <c r="F70" t="s">
        <v>2608</v>
      </c>
      <c r="G70" t="s">
        <v>2744</v>
      </c>
    </row>
    <row r="71" spans="1:7" ht="11.25" customHeight="1">
      <c r="A71" s="307" t="s">
        <v>16</v>
      </c>
      <c r="B71" t="s">
        <v>2745</v>
      </c>
      <c r="C71" t="s">
        <v>2746</v>
      </c>
      <c r="D71" t="s">
        <v>2747</v>
      </c>
      <c r="E71" t="s">
        <v>2748</v>
      </c>
      <c r="F71" t="s">
        <v>2612</v>
      </c>
      <c r="G71" t="s">
        <v>2749</v>
      </c>
    </row>
    <row r="72" spans="1:7" ht="11.25" customHeight="1">
      <c r="A72" s="307" t="s">
        <v>16</v>
      </c>
      <c r="B72" t="s">
        <v>2745</v>
      </c>
      <c r="C72" t="s">
        <v>2746</v>
      </c>
      <c r="D72" t="s">
        <v>2750</v>
      </c>
      <c r="E72" t="s">
        <v>2751</v>
      </c>
      <c r="F72" t="s">
        <v>2608</v>
      </c>
      <c r="G72" t="s">
        <v>2752</v>
      </c>
    </row>
    <row r="73" spans="1:7" ht="11.25" customHeight="1">
      <c r="A73" s="307" t="s">
        <v>16</v>
      </c>
      <c r="B73" t="s">
        <v>2745</v>
      </c>
      <c r="C73" t="s">
        <v>2746</v>
      </c>
      <c r="D73" t="s">
        <v>2753</v>
      </c>
      <c r="E73" t="s">
        <v>2754</v>
      </c>
      <c r="F73" t="s">
        <v>2608</v>
      </c>
      <c r="G73" t="s">
        <v>2755</v>
      </c>
    </row>
    <row r="74" spans="1:7" ht="11.25" customHeight="1">
      <c r="A74" s="307" t="s">
        <v>16</v>
      </c>
      <c r="B74" t="s">
        <v>2745</v>
      </c>
      <c r="C74" t="s">
        <v>2746</v>
      </c>
      <c r="D74" t="s">
        <v>2745</v>
      </c>
      <c r="E74" t="s">
        <v>2746</v>
      </c>
      <c r="F74" t="s">
        <v>2609</v>
      </c>
      <c r="G74" t="s">
        <v>2756</v>
      </c>
    </row>
    <row r="75" spans="1:7" ht="11.25" customHeight="1">
      <c r="A75" s="307" t="s">
        <v>16</v>
      </c>
      <c r="B75" t="s">
        <v>2745</v>
      </c>
      <c r="C75" t="s">
        <v>2746</v>
      </c>
      <c r="D75" t="s">
        <v>2757</v>
      </c>
      <c r="E75" t="s">
        <v>2758</v>
      </c>
      <c r="F75" t="s">
        <v>2608</v>
      </c>
      <c r="G75" t="s">
        <v>2759</v>
      </c>
    </row>
    <row r="76" spans="1:7" ht="11.25" customHeight="1">
      <c r="A76" s="307" t="s">
        <v>16</v>
      </c>
      <c r="B76" t="s">
        <v>2760</v>
      </c>
      <c r="C76" t="s">
        <v>2761</v>
      </c>
      <c r="D76" t="s">
        <v>2760</v>
      </c>
      <c r="E76" t="s">
        <v>2761</v>
      </c>
      <c r="F76" t="s">
        <v>2615</v>
      </c>
      <c r="G76" t="s">
        <v>2762</v>
      </c>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E250A6-DC14-B86E-F98A-0B0062E4E88C}">
  <sheetPr>
    <tabColor rgb="FFFFCC99"/>
  </sheetPr>
  <dimension ref="A1:I1"/>
  <sheetViews>
    <sheetView showGridLines="0" workbookViewId="0"/>
  </sheetViews>
  <sheetFormatPr defaultColWidth="9.09765625" defaultRowHeight="11.25" customHeight="1"/>
  <cols>
    <col min="1" max="1" width="13.796875" style="3000" customWidth="1"/>
    <col min="2" max="2" width="10.3984375" style="3000" customWidth="1"/>
    <col min="3" max="3" width="7.59765625" style="3000" customWidth="1"/>
    <col min="4" max="4" width="13.796875" style="3000" customWidth="1"/>
    <col min="5" max="5" width="11.59765625" style="3000" customWidth="1"/>
    <col min="6" max="6" width="16.296875" style="3000" customWidth="1"/>
    <col min="7" max="7" width="16" style="3000" customWidth="1"/>
    <col min="8" max="9" width="16.09765625" style="3000" customWidth="1"/>
  </cols>
  <sheetData>
    <row r="1" spans="1:9" ht="11.25" customHeight="1">
      <c r="A1" s="763" t="s">
        <v>2763</v>
      </c>
      <c r="B1" s="763" t="s">
        <v>2764</v>
      </c>
      <c r="C1" s="1076" t="s">
        <v>2765</v>
      </c>
      <c r="D1" s="763" t="s">
        <v>2766</v>
      </c>
      <c r="E1" s="763" t="s">
        <v>2767</v>
      </c>
      <c r="F1" s="1076" t="s">
        <v>2768</v>
      </c>
      <c r="G1" s="1076" t="s">
        <v>2769</v>
      </c>
      <c r="H1" s="1076" t="s">
        <v>2770</v>
      </c>
      <c r="I1" s="1076" t="s">
        <v>2771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3FA192-2E7D-9A0B-6AE2-23AFFC45655C}">
  <sheetPr>
    <tabColor rgb="FFFFCC99"/>
  </sheetPr>
  <dimension ref="A1"/>
  <sheetViews>
    <sheetView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979695-3029-4918-1A73-E03A5D834626}">
  <sheetPr>
    <tabColor rgb="FFFFCC99"/>
  </sheetPr>
  <dimension ref="A1:B5"/>
  <sheetViews>
    <sheetView showGridLines="0" workbookViewId="0"/>
  </sheetViews>
  <sheetFormatPr defaultColWidth="9.09765625" defaultRowHeight="11.25" customHeight="1"/>
  <cols>
    <col min="1" max="2" width="9.09765625" style="3016"/>
  </cols>
  <sheetData>
    <row r="1" spans="1:2" ht="11.25" customHeight="1">
      <c r="A1" s="118" t="s">
        <v>144</v>
      </c>
      <c r="B1" s="118" t="s">
        <v>2772</v>
      </c>
    </row>
    <row r="2" spans="1:2" ht="11.25" customHeight="1">
      <c r="A2" s="3017" t="s">
        <v>99</v>
      </c>
      <c r="B2" s="3017" t="s">
        <v>2773</v>
      </c>
    </row>
    <row r="3" spans="1:2" ht="11.25" customHeight="1">
      <c r="A3" s="3017" t="s">
        <v>106</v>
      </c>
      <c r="B3" s="3017" t="s">
        <v>2774</v>
      </c>
    </row>
    <row r="4" spans="1:2" ht="11.25" customHeight="1">
      <c r="A4" s="3017" t="s">
        <v>111</v>
      </c>
      <c r="B4" s="3017" t="s">
        <v>2775</v>
      </c>
    </row>
    <row r="5" spans="1:2" ht="11.25" customHeight="1">
      <c r="A5" s="3017" t="s">
        <v>115</v>
      </c>
      <c r="B5" s="3017" t="s">
        <v>2776</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63A24C-E1BC-6EFB-1666-5254F9B7EA86}">
  <sheetPr>
    <tabColor rgb="FFFFCC99"/>
  </sheetPr>
  <dimension ref="A1:B11"/>
  <sheetViews>
    <sheetView showGridLines="0" workbookViewId="0"/>
  </sheetViews>
  <sheetFormatPr defaultColWidth="9.09765625" defaultRowHeight="11.25" customHeight="1"/>
  <cols>
    <col min="1" max="1" width="9.09765625" style="3000"/>
    <col min="2" max="2" width="65.296875" style="3000" customWidth="1"/>
  </cols>
  <sheetData>
    <row r="1" spans="1:2" ht="11.25" customHeight="1">
      <c r="A1" s="763" t="s">
        <v>2777</v>
      </c>
      <c r="B1" s="763" t="s">
        <v>2778</v>
      </c>
    </row>
    <row r="2" spans="1:2" ht="11.25" customHeight="1">
      <c r="A2" s="763">
        <v>4213775</v>
      </c>
      <c r="B2" s="763" t="s">
        <v>1256</v>
      </c>
    </row>
    <row r="3" spans="1:2" ht="11.25" customHeight="1">
      <c r="A3" s="763">
        <v>4213784</v>
      </c>
      <c r="B3" s="763" t="s">
        <v>1287</v>
      </c>
    </row>
    <row r="4" spans="1:2" ht="11.25" customHeight="1">
      <c r="A4" s="763">
        <v>4213781</v>
      </c>
      <c r="B4" s="763" t="s">
        <v>1280</v>
      </c>
    </row>
    <row r="5" spans="1:2" ht="11.25" customHeight="1">
      <c r="A5" s="763">
        <v>4213776</v>
      </c>
      <c r="B5" s="763" t="s">
        <v>190</v>
      </c>
    </row>
    <row r="6" spans="1:2" ht="11.25" customHeight="1">
      <c r="A6" s="763">
        <v>4213777</v>
      </c>
      <c r="B6" s="763" t="s">
        <v>202</v>
      </c>
    </row>
    <row r="7" spans="1:2" ht="11.25" customHeight="1">
      <c r="A7" s="763">
        <v>4213778</v>
      </c>
      <c r="B7" s="763" t="s">
        <v>214</v>
      </c>
    </row>
    <row r="8" spans="1:2" ht="11.25" customHeight="1">
      <c r="A8" s="763">
        <v>4213780</v>
      </c>
      <c r="B8" s="763" t="s">
        <v>221</v>
      </c>
    </row>
    <row r="9" spans="1:2" ht="11.25" customHeight="1">
      <c r="A9" s="763">
        <v>4213779</v>
      </c>
      <c r="B9" s="763" t="s">
        <v>1421</v>
      </c>
    </row>
    <row r="10" spans="1:2" ht="11.25" customHeight="1">
      <c r="A10" s="763">
        <v>4213783</v>
      </c>
      <c r="B10" s="763" t="s">
        <v>1436</v>
      </c>
    </row>
    <row r="11" spans="1:2" ht="11.25" customHeight="1">
      <c r="A11" s="763">
        <v>4213782</v>
      </c>
      <c r="B11" s="763" t="s">
        <v>227</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669FBB-C428-C725-04ED-3F86481483B2}">
  <sheetPr>
    <tabColor rgb="FFFFCC99"/>
  </sheetPr>
  <dimension ref="A1:B11"/>
  <sheetViews>
    <sheetView showGridLines="0" workbookViewId="0"/>
  </sheetViews>
  <sheetFormatPr defaultColWidth="9.09765625" defaultRowHeight="11.25" customHeight="1"/>
  <cols>
    <col min="1" max="1" width="9.09765625" style="3000"/>
    <col min="2" max="2" width="65.296875" style="3000" customWidth="1"/>
  </cols>
  <sheetData>
    <row r="1" spans="1:2" ht="11.25" customHeight="1">
      <c r="A1" s="763" t="s">
        <v>2777</v>
      </c>
      <c r="B1" s="763" t="s">
        <v>2779</v>
      </c>
    </row>
    <row r="2" spans="1:2" ht="11.25" customHeight="1">
      <c r="A2" s="763" t="s">
        <v>2780</v>
      </c>
      <c r="B2" s="763" t="s">
        <v>1533</v>
      </c>
    </row>
    <row r="3" spans="1:2" ht="11.25" customHeight="1">
      <c r="A3" s="763" t="s">
        <v>2781</v>
      </c>
      <c r="B3" s="763" t="s">
        <v>1543</v>
      </c>
    </row>
    <row r="4" spans="1:2" ht="11.25" customHeight="1">
      <c r="A4" s="763" t="s">
        <v>2782</v>
      </c>
      <c r="B4" s="763" t="s">
        <v>1552</v>
      </c>
    </row>
    <row r="5" spans="1:2" ht="11.25" customHeight="1">
      <c r="A5" s="763" t="s">
        <v>2783</v>
      </c>
      <c r="B5" s="763" t="s">
        <v>1561</v>
      </c>
    </row>
    <row r="6" spans="1:2" ht="11.25" customHeight="1">
      <c r="A6" s="763" t="s">
        <v>2784</v>
      </c>
      <c r="B6" s="763" t="s">
        <v>1567</v>
      </c>
    </row>
    <row r="7" spans="1:2" ht="11.25" customHeight="1">
      <c r="A7" s="763" t="s">
        <v>2785</v>
      </c>
      <c r="B7" s="763" t="s">
        <v>1575</v>
      </c>
    </row>
    <row r="8" spans="1:2" ht="11.25" customHeight="1">
      <c r="A8" s="763" t="s">
        <v>2786</v>
      </c>
      <c r="B8" s="763" t="s">
        <v>1581</v>
      </c>
    </row>
    <row r="9" spans="1:2" ht="11.25" customHeight="1">
      <c r="A9" s="763" t="s">
        <v>2787</v>
      </c>
      <c r="B9" s="763" t="s">
        <v>1587</v>
      </c>
    </row>
    <row r="10" spans="1:2" ht="11.25" customHeight="1">
      <c r="A10" s="763" t="s">
        <v>2788</v>
      </c>
      <c r="B10" s="763" t="s">
        <v>1591</v>
      </c>
    </row>
    <row r="11" spans="1:2" ht="11.25" customHeight="1">
      <c r="A11" s="763" t="s">
        <v>2789</v>
      </c>
      <c r="B11" s="763" t="s">
        <v>1598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9BDE67-3DEE-297F-5531-6119A51C5434}">
  <sheetPr>
    <tabColor rgb="FFFFCC99"/>
  </sheetPr>
  <dimension ref="A1:G76"/>
  <sheetViews>
    <sheetView showGridLines="0" workbookViewId="0"/>
  </sheetViews>
  <sheetFormatPr defaultRowHeight="11.25" customHeight="1"/>
  <sheetData>
    <row r="1" spans="1:7" ht="11.25" customHeight="1">
      <c r="A1" s="307" t="s">
        <v>2594</v>
      </c>
      <c r="B1" s="307" t="s">
        <v>2595</v>
      </c>
      <c r="C1" s="307" t="s">
        <v>2596</v>
      </c>
      <c r="D1" s="307" t="s">
        <v>2597</v>
      </c>
      <c r="E1" t="s">
        <v>2598</v>
      </c>
      <c r="F1" t="s">
        <v>2599</v>
      </c>
      <c r="G1" t="s">
        <v>2600</v>
      </c>
    </row>
    <row r="2" spans="1:7" ht="11.25" customHeight="1">
      <c r="A2" t="s">
        <v>16</v>
      </c>
      <c r="B2" t="s">
        <v>2601</v>
      </c>
      <c r="C2" t="s">
        <v>2602</v>
      </c>
      <c r="D2" t="s">
        <v>2601</v>
      </c>
      <c r="E2" t="s">
        <v>2602</v>
      </c>
      <c r="F2" t="s">
        <v>2603</v>
      </c>
      <c r="G2" t="s">
        <v>124</v>
      </c>
    </row>
    <row r="3" spans="1:7" ht="11.25" customHeight="1">
      <c r="A3" t="s">
        <v>16</v>
      </c>
      <c r="B3" t="s">
        <v>2604</v>
      </c>
      <c r="C3" t="s">
        <v>2605</v>
      </c>
      <c r="D3" t="s">
        <v>2606</v>
      </c>
      <c r="E3" t="s">
        <v>2607</v>
      </c>
      <c r="F3" t="s">
        <v>2608</v>
      </c>
      <c r="G3" t="s">
        <v>104</v>
      </c>
    </row>
    <row r="4" spans="1:7" ht="11.25" customHeight="1">
      <c r="A4" t="s">
        <v>16</v>
      </c>
      <c r="B4" t="s">
        <v>2604</v>
      </c>
      <c r="C4" t="s">
        <v>2605</v>
      </c>
      <c r="D4" t="s">
        <v>2604</v>
      </c>
      <c r="E4" t="s">
        <v>2605</v>
      </c>
      <c r="F4" t="s">
        <v>2609</v>
      </c>
      <c r="G4" t="s">
        <v>91</v>
      </c>
    </row>
    <row r="5" spans="1:7" ht="11.25" customHeight="1">
      <c r="A5" t="s">
        <v>16</v>
      </c>
      <c r="B5" t="s">
        <v>2604</v>
      </c>
      <c r="C5" t="s">
        <v>2605</v>
      </c>
      <c r="D5" t="s">
        <v>2610</v>
      </c>
      <c r="E5" t="s">
        <v>2611</v>
      </c>
      <c r="F5" t="s">
        <v>2612</v>
      </c>
      <c r="G5" t="s">
        <v>92</v>
      </c>
    </row>
    <row r="6" spans="1:7" ht="11.25" customHeight="1">
      <c r="A6" t="s">
        <v>16</v>
      </c>
      <c r="B6" t="s">
        <v>2604</v>
      </c>
      <c r="C6" t="s">
        <v>2605</v>
      </c>
      <c r="D6" t="s">
        <v>2613</v>
      </c>
      <c r="E6" t="s">
        <v>2614</v>
      </c>
      <c r="F6" t="s">
        <v>2608</v>
      </c>
      <c r="G6" t="s">
        <v>125</v>
      </c>
    </row>
    <row r="7" spans="1:7" ht="11.25" customHeight="1">
      <c r="A7" t="s">
        <v>16</v>
      </c>
      <c r="B7" t="s">
        <v>116</v>
      </c>
      <c r="C7" t="s">
        <v>117</v>
      </c>
      <c r="D7" t="s">
        <v>116</v>
      </c>
      <c r="E7" t="s">
        <v>117</v>
      </c>
      <c r="F7" t="s">
        <v>2615</v>
      </c>
      <c r="G7" t="s">
        <v>93</v>
      </c>
    </row>
    <row r="8" spans="1:7" ht="11.25" customHeight="1">
      <c r="A8" t="s">
        <v>16</v>
      </c>
      <c r="B8" t="s">
        <v>108</v>
      </c>
      <c r="C8" t="s">
        <v>2616</v>
      </c>
      <c r="D8" t="s">
        <v>2617</v>
      </c>
      <c r="E8" t="s">
        <v>2618</v>
      </c>
      <c r="F8" t="s">
        <v>2619</v>
      </c>
      <c r="G8" t="s">
        <v>94</v>
      </c>
    </row>
    <row r="9" spans="1:7" ht="11.25" customHeight="1">
      <c r="A9" t="s">
        <v>16</v>
      </c>
      <c r="B9" t="s">
        <v>108</v>
      </c>
      <c r="C9" t="s">
        <v>2616</v>
      </c>
      <c r="D9" t="s">
        <v>108</v>
      </c>
      <c r="E9" t="s">
        <v>2616</v>
      </c>
      <c r="F9" t="s">
        <v>2609</v>
      </c>
      <c r="G9" t="s">
        <v>126</v>
      </c>
    </row>
    <row r="10" spans="1:7" ht="11.25" customHeight="1">
      <c r="A10" t="s">
        <v>16</v>
      </c>
      <c r="B10" t="s">
        <v>108</v>
      </c>
      <c r="C10" t="s">
        <v>2616</v>
      </c>
      <c r="D10" t="s">
        <v>109</v>
      </c>
      <c r="E10" t="s">
        <v>110</v>
      </c>
      <c r="F10" t="s">
        <v>2620</v>
      </c>
      <c r="G10" t="s">
        <v>107</v>
      </c>
    </row>
    <row r="11" spans="1:7" ht="11.25" customHeight="1">
      <c r="A11" t="s">
        <v>16</v>
      </c>
      <c r="B11" t="s">
        <v>108</v>
      </c>
      <c r="C11" t="s">
        <v>2616</v>
      </c>
      <c r="D11" t="s">
        <v>2621</v>
      </c>
      <c r="E11" t="s">
        <v>2622</v>
      </c>
      <c r="F11" t="s">
        <v>2608</v>
      </c>
      <c r="G11" t="s">
        <v>162</v>
      </c>
    </row>
    <row r="12" spans="1:7" ht="11.25" customHeight="1">
      <c r="A12" t="s">
        <v>16</v>
      </c>
      <c r="B12" t="s">
        <v>108</v>
      </c>
      <c r="C12" t="s">
        <v>2616</v>
      </c>
      <c r="D12" t="s">
        <v>2623</v>
      </c>
      <c r="E12" t="s">
        <v>2624</v>
      </c>
      <c r="F12" t="s">
        <v>2612</v>
      </c>
      <c r="G12" t="s">
        <v>163</v>
      </c>
    </row>
    <row r="13" spans="1:7" ht="11.25" customHeight="1">
      <c r="A13" t="s">
        <v>16</v>
      </c>
      <c r="B13" t="s">
        <v>108</v>
      </c>
      <c r="C13" t="s">
        <v>2616</v>
      </c>
      <c r="D13" t="s">
        <v>2625</v>
      </c>
      <c r="E13" t="s">
        <v>2626</v>
      </c>
      <c r="F13" t="s">
        <v>2608</v>
      </c>
      <c r="G13" t="s">
        <v>164</v>
      </c>
    </row>
    <row r="14" spans="1:7" ht="11.25" customHeight="1">
      <c r="A14" t="s">
        <v>16</v>
      </c>
      <c r="B14" t="s">
        <v>108</v>
      </c>
      <c r="C14" t="s">
        <v>2616</v>
      </c>
      <c r="D14" t="s">
        <v>2627</v>
      </c>
      <c r="E14" t="s">
        <v>2628</v>
      </c>
      <c r="F14" t="s">
        <v>2608</v>
      </c>
      <c r="G14" t="s">
        <v>165</v>
      </c>
    </row>
    <row r="15" spans="1:7" ht="11.25" customHeight="1">
      <c r="A15" t="s">
        <v>16</v>
      </c>
      <c r="B15" t="s">
        <v>108</v>
      </c>
      <c r="C15" t="s">
        <v>2616</v>
      </c>
      <c r="D15" t="s">
        <v>2629</v>
      </c>
      <c r="E15" t="s">
        <v>2630</v>
      </c>
      <c r="F15" t="s">
        <v>2608</v>
      </c>
      <c r="G15" t="s">
        <v>166</v>
      </c>
    </row>
    <row r="16" spans="1:7" ht="11.25" customHeight="1">
      <c r="A16" t="s">
        <v>16</v>
      </c>
      <c r="B16" t="s">
        <v>108</v>
      </c>
      <c r="C16" t="s">
        <v>2616</v>
      </c>
      <c r="D16" t="s">
        <v>113</v>
      </c>
      <c r="E16" t="s">
        <v>114</v>
      </c>
      <c r="F16" t="s">
        <v>2608</v>
      </c>
      <c r="G16" t="s">
        <v>112</v>
      </c>
    </row>
    <row r="17" spans="1:7" ht="11.25" customHeight="1">
      <c r="A17" t="s">
        <v>16</v>
      </c>
      <c r="B17" t="s">
        <v>108</v>
      </c>
      <c r="C17" t="s">
        <v>2616</v>
      </c>
      <c r="D17" t="s">
        <v>2631</v>
      </c>
      <c r="E17" t="s">
        <v>2632</v>
      </c>
      <c r="F17" t="s">
        <v>2608</v>
      </c>
      <c r="G17" t="s">
        <v>1501</v>
      </c>
    </row>
    <row r="18" spans="1:7" ht="11.25" customHeight="1">
      <c r="A18" t="s">
        <v>16</v>
      </c>
      <c r="B18" t="s">
        <v>108</v>
      </c>
      <c r="C18" t="s">
        <v>2616</v>
      </c>
      <c r="D18" t="s">
        <v>2633</v>
      </c>
      <c r="E18" t="s">
        <v>2634</v>
      </c>
      <c r="F18" t="s">
        <v>2608</v>
      </c>
      <c r="G18" t="s">
        <v>1513</v>
      </c>
    </row>
    <row r="19" spans="1:7" ht="11.25" customHeight="1">
      <c r="A19" t="s">
        <v>16</v>
      </c>
      <c r="B19" t="s">
        <v>108</v>
      </c>
      <c r="C19" t="s">
        <v>2616</v>
      </c>
      <c r="D19" t="s">
        <v>2635</v>
      </c>
      <c r="E19" t="s">
        <v>2636</v>
      </c>
      <c r="F19" t="s">
        <v>2608</v>
      </c>
      <c r="G19" t="s">
        <v>1527</v>
      </c>
    </row>
    <row r="20" spans="1:7" ht="11.25" customHeight="1">
      <c r="A20" t="s">
        <v>16</v>
      </c>
      <c r="B20" t="s">
        <v>2637</v>
      </c>
      <c r="C20" t="s">
        <v>2638</v>
      </c>
      <c r="D20" t="s">
        <v>2637</v>
      </c>
      <c r="E20" t="s">
        <v>2638</v>
      </c>
      <c r="F20" t="s">
        <v>2609</v>
      </c>
      <c r="G20" t="s">
        <v>1539</v>
      </c>
    </row>
    <row r="21" spans="1:7" ht="11.25" customHeight="1">
      <c r="A21" t="s">
        <v>16</v>
      </c>
      <c r="B21" t="s">
        <v>2637</v>
      </c>
      <c r="C21" t="s">
        <v>2638</v>
      </c>
      <c r="D21" t="s">
        <v>2639</v>
      </c>
      <c r="E21" t="s">
        <v>2640</v>
      </c>
      <c r="F21" t="s">
        <v>2612</v>
      </c>
      <c r="G21" t="s">
        <v>1548</v>
      </c>
    </row>
    <row r="22" spans="1:7" ht="11.25" customHeight="1">
      <c r="A22" t="s">
        <v>16</v>
      </c>
      <c r="B22" t="s">
        <v>2637</v>
      </c>
      <c r="C22" t="s">
        <v>2638</v>
      </c>
      <c r="D22" t="s">
        <v>2641</v>
      </c>
      <c r="E22" t="s">
        <v>2642</v>
      </c>
      <c r="F22" t="s">
        <v>2608</v>
      </c>
      <c r="G22" t="s">
        <v>1564</v>
      </c>
    </row>
    <row r="23" spans="1:7" ht="11.25" customHeight="1">
      <c r="A23" t="s">
        <v>16</v>
      </c>
      <c r="B23" t="s">
        <v>2637</v>
      </c>
      <c r="C23" t="s">
        <v>2638</v>
      </c>
      <c r="D23" t="s">
        <v>2643</v>
      </c>
      <c r="E23" t="s">
        <v>2644</v>
      </c>
      <c r="F23" t="s">
        <v>2608</v>
      </c>
      <c r="G23" t="s">
        <v>1571</v>
      </c>
    </row>
    <row r="24" spans="1:7" ht="11.25" customHeight="1">
      <c r="A24" t="s">
        <v>16</v>
      </c>
      <c r="B24" t="s">
        <v>2637</v>
      </c>
      <c r="C24" t="s">
        <v>2638</v>
      </c>
      <c r="D24" t="s">
        <v>2645</v>
      </c>
      <c r="E24" t="s">
        <v>2646</v>
      </c>
      <c r="F24" t="s">
        <v>2608</v>
      </c>
      <c r="G24" t="s">
        <v>1578</v>
      </c>
    </row>
    <row r="25" spans="1:7" ht="11.25" customHeight="1">
      <c r="A25" t="s">
        <v>16</v>
      </c>
      <c r="B25" t="s">
        <v>2637</v>
      </c>
      <c r="C25" t="s">
        <v>2638</v>
      </c>
      <c r="D25" t="s">
        <v>2647</v>
      </c>
      <c r="E25" t="s">
        <v>2648</v>
      </c>
      <c r="F25" t="s">
        <v>2608</v>
      </c>
      <c r="G25" t="s">
        <v>1585</v>
      </c>
    </row>
    <row r="26" spans="1:7" ht="11.25" customHeight="1">
      <c r="A26" t="s">
        <v>16</v>
      </c>
      <c r="B26" t="s">
        <v>2637</v>
      </c>
      <c r="C26" t="s">
        <v>2638</v>
      </c>
      <c r="D26" t="s">
        <v>2649</v>
      </c>
      <c r="E26" t="s">
        <v>2650</v>
      </c>
      <c r="F26" t="s">
        <v>2608</v>
      </c>
      <c r="G26" t="s">
        <v>1589</v>
      </c>
    </row>
    <row r="27" spans="1:7" ht="11.25" customHeight="1">
      <c r="A27" t="s">
        <v>16</v>
      </c>
      <c r="B27" t="s">
        <v>2651</v>
      </c>
      <c r="C27" t="s">
        <v>2652</v>
      </c>
      <c r="D27" t="s">
        <v>2651</v>
      </c>
      <c r="E27" t="s">
        <v>2652</v>
      </c>
      <c r="F27" t="s">
        <v>2603</v>
      </c>
      <c r="G27" t="s">
        <v>1594</v>
      </c>
    </row>
    <row r="28" spans="1:7" ht="11.25" customHeight="1">
      <c r="A28" t="s">
        <v>16</v>
      </c>
      <c r="B28" t="s">
        <v>2653</v>
      </c>
      <c r="C28" t="s">
        <v>2654</v>
      </c>
      <c r="D28" t="s">
        <v>2655</v>
      </c>
      <c r="E28" t="s">
        <v>2656</v>
      </c>
      <c r="F28" t="s">
        <v>2608</v>
      </c>
      <c r="G28" t="s">
        <v>1602</v>
      </c>
    </row>
    <row r="29" spans="1:7" ht="11.25" customHeight="1">
      <c r="A29" t="s">
        <v>16</v>
      </c>
      <c r="B29" t="s">
        <v>2653</v>
      </c>
      <c r="C29" t="s">
        <v>2654</v>
      </c>
      <c r="D29" t="s">
        <v>2657</v>
      </c>
      <c r="E29" t="s">
        <v>2658</v>
      </c>
      <c r="F29" t="s">
        <v>2612</v>
      </c>
      <c r="G29" t="s">
        <v>1604</v>
      </c>
    </row>
    <row r="30" spans="1:7" ht="11.25" customHeight="1">
      <c r="A30" t="s">
        <v>16</v>
      </c>
      <c r="B30" t="s">
        <v>2653</v>
      </c>
      <c r="C30" t="s">
        <v>2654</v>
      </c>
      <c r="D30" t="s">
        <v>2653</v>
      </c>
      <c r="E30" t="s">
        <v>2654</v>
      </c>
      <c r="F30" t="s">
        <v>2609</v>
      </c>
      <c r="G30" t="s">
        <v>1607</v>
      </c>
    </row>
    <row r="31" spans="1:7" ht="11.25" customHeight="1">
      <c r="A31" t="s">
        <v>16</v>
      </c>
      <c r="B31" t="s">
        <v>2653</v>
      </c>
      <c r="C31" t="s">
        <v>2654</v>
      </c>
      <c r="D31" t="s">
        <v>2659</v>
      </c>
      <c r="E31" t="s">
        <v>2660</v>
      </c>
      <c r="F31" t="s">
        <v>2608</v>
      </c>
      <c r="G31" t="s">
        <v>1613</v>
      </c>
    </row>
    <row r="32" spans="1:7" ht="11.25" customHeight="1">
      <c r="A32" t="s">
        <v>16</v>
      </c>
      <c r="B32" t="s">
        <v>2661</v>
      </c>
      <c r="C32" t="s">
        <v>2662</v>
      </c>
      <c r="D32" t="s">
        <v>2663</v>
      </c>
      <c r="E32" t="s">
        <v>2664</v>
      </c>
      <c r="F32" t="s">
        <v>2612</v>
      </c>
      <c r="G32" t="s">
        <v>1615</v>
      </c>
    </row>
    <row r="33" spans="1:7" ht="11.25" customHeight="1">
      <c r="A33" t="s">
        <v>16</v>
      </c>
      <c r="B33" t="s">
        <v>2661</v>
      </c>
      <c r="C33" t="s">
        <v>2662</v>
      </c>
      <c r="D33" t="s">
        <v>2661</v>
      </c>
      <c r="E33" t="s">
        <v>2662</v>
      </c>
      <c r="F33" t="s">
        <v>2609</v>
      </c>
      <c r="G33" t="s">
        <v>1617</v>
      </c>
    </row>
    <row r="34" spans="1:7" ht="11.25" customHeight="1">
      <c r="A34" t="s">
        <v>16</v>
      </c>
      <c r="B34" t="s">
        <v>2661</v>
      </c>
      <c r="C34" t="s">
        <v>2662</v>
      </c>
      <c r="D34" t="s">
        <v>2665</v>
      </c>
      <c r="E34" t="s">
        <v>2666</v>
      </c>
      <c r="F34" t="s">
        <v>2608</v>
      </c>
      <c r="G34" t="s">
        <v>1619</v>
      </c>
    </row>
    <row r="35" spans="1:7" ht="11.25" customHeight="1">
      <c r="A35" t="s">
        <v>16</v>
      </c>
      <c r="B35" t="s">
        <v>2661</v>
      </c>
      <c r="C35" t="s">
        <v>2662</v>
      </c>
      <c r="D35" t="s">
        <v>2667</v>
      </c>
      <c r="E35" t="s">
        <v>2668</v>
      </c>
      <c r="F35" t="s">
        <v>2608</v>
      </c>
      <c r="G35" t="s">
        <v>1624</v>
      </c>
    </row>
    <row r="36" spans="1:7" ht="11.25" customHeight="1">
      <c r="A36" t="s">
        <v>16</v>
      </c>
      <c r="B36" t="s">
        <v>2661</v>
      </c>
      <c r="C36" t="s">
        <v>2662</v>
      </c>
      <c r="D36" t="s">
        <v>2669</v>
      </c>
      <c r="E36" t="s">
        <v>2670</v>
      </c>
      <c r="F36" t="s">
        <v>2608</v>
      </c>
      <c r="G36" t="s">
        <v>1629</v>
      </c>
    </row>
    <row r="37" spans="1:7" ht="11.25" customHeight="1">
      <c r="A37" t="s">
        <v>16</v>
      </c>
      <c r="B37" t="s">
        <v>2661</v>
      </c>
      <c r="C37" t="s">
        <v>2662</v>
      </c>
      <c r="D37" t="s">
        <v>2671</v>
      </c>
      <c r="E37" t="s">
        <v>2672</v>
      </c>
      <c r="F37" t="s">
        <v>2608</v>
      </c>
      <c r="G37" t="s">
        <v>1633</v>
      </c>
    </row>
    <row r="38" spans="1:7" ht="11.25" customHeight="1">
      <c r="A38" t="s">
        <v>16</v>
      </c>
      <c r="B38" t="s">
        <v>2661</v>
      </c>
      <c r="C38" t="s">
        <v>2662</v>
      </c>
      <c r="D38" t="s">
        <v>2673</v>
      </c>
      <c r="E38" t="s">
        <v>2674</v>
      </c>
      <c r="F38" t="s">
        <v>2608</v>
      </c>
      <c r="G38" t="s">
        <v>1641</v>
      </c>
    </row>
    <row r="39" spans="1:7" ht="11.25" customHeight="1">
      <c r="A39" t="s">
        <v>16</v>
      </c>
      <c r="B39" t="s">
        <v>2661</v>
      </c>
      <c r="C39" t="s">
        <v>2662</v>
      </c>
      <c r="D39" t="s">
        <v>2675</v>
      </c>
      <c r="E39" t="s">
        <v>2676</v>
      </c>
      <c r="F39" t="s">
        <v>2608</v>
      </c>
      <c r="G39" t="s">
        <v>1647</v>
      </c>
    </row>
    <row r="40" spans="1:7" ht="11.25" customHeight="1">
      <c r="A40" t="s">
        <v>16</v>
      </c>
      <c r="B40" t="s">
        <v>2661</v>
      </c>
      <c r="C40" t="s">
        <v>2662</v>
      </c>
      <c r="D40" t="s">
        <v>2677</v>
      </c>
      <c r="E40" t="s">
        <v>2678</v>
      </c>
      <c r="F40" t="s">
        <v>2608</v>
      </c>
      <c r="G40" t="s">
        <v>1652</v>
      </c>
    </row>
    <row r="41" spans="1:7" ht="11.25" customHeight="1">
      <c r="A41" t="s">
        <v>16</v>
      </c>
      <c r="B41" t="s">
        <v>2679</v>
      </c>
      <c r="C41" t="s">
        <v>2680</v>
      </c>
      <c r="D41" t="s">
        <v>2681</v>
      </c>
      <c r="E41" t="s">
        <v>2682</v>
      </c>
      <c r="F41" t="s">
        <v>2612</v>
      </c>
      <c r="G41" t="s">
        <v>1656</v>
      </c>
    </row>
    <row r="42" spans="1:7" ht="11.25" customHeight="1">
      <c r="A42" t="s">
        <v>16</v>
      </c>
      <c r="B42" t="s">
        <v>2679</v>
      </c>
      <c r="C42" t="s">
        <v>2680</v>
      </c>
      <c r="D42" t="s">
        <v>2679</v>
      </c>
      <c r="E42" t="s">
        <v>2680</v>
      </c>
      <c r="F42" t="s">
        <v>2609</v>
      </c>
      <c r="G42" t="s">
        <v>1659</v>
      </c>
    </row>
    <row r="43" spans="1:7" ht="11.25" customHeight="1">
      <c r="A43" t="s">
        <v>16</v>
      </c>
      <c r="B43" t="s">
        <v>2679</v>
      </c>
      <c r="C43" t="s">
        <v>2680</v>
      </c>
      <c r="D43" t="s">
        <v>2683</v>
      </c>
      <c r="E43" t="s">
        <v>2684</v>
      </c>
      <c r="F43" t="s">
        <v>2608</v>
      </c>
      <c r="G43" t="s">
        <v>1666</v>
      </c>
    </row>
    <row r="44" spans="1:7" ht="11.25" customHeight="1">
      <c r="A44" t="s">
        <v>16</v>
      </c>
      <c r="B44" t="s">
        <v>2679</v>
      </c>
      <c r="C44" t="s">
        <v>2680</v>
      </c>
      <c r="D44" t="s">
        <v>2685</v>
      </c>
      <c r="E44" t="s">
        <v>2686</v>
      </c>
      <c r="F44" t="s">
        <v>2608</v>
      </c>
      <c r="G44" t="s">
        <v>1675</v>
      </c>
    </row>
    <row r="45" spans="1:7" ht="11.25" customHeight="1">
      <c r="A45" t="s">
        <v>16</v>
      </c>
      <c r="B45" t="s">
        <v>2679</v>
      </c>
      <c r="C45" t="s">
        <v>2680</v>
      </c>
      <c r="D45" t="s">
        <v>2687</v>
      </c>
      <c r="E45" t="s">
        <v>2688</v>
      </c>
      <c r="F45" t="s">
        <v>2608</v>
      </c>
      <c r="G45" t="s">
        <v>1680</v>
      </c>
    </row>
    <row r="46" spans="1:7" ht="11.25" customHeight="1">
      <c r="A46" t="s">
        <v>16</v>
      </c>
      <c r="B46" t="s">
        <v>2679</v>
      </c>
      <c r="C46" t="s">
        <v>2680</v>
      </c>
      <c r="D46" t="s">
        <v>2689</v>
      </c>
      <c r="E46" t="s">
        <v>2690</v>
      </c>
      <c r="F46" t="s">
        <v>2608</v>
      </c>
      <c r="G46" t="s">
        <v>1684</v>
      </c>
    </row>
    <row r="47" spans="1:7" ht="11.25" customHeight="1">
      <c r="A47" t="s">
        <v>16</v>
      </c>
      <c r="B47" t="s">
        <v>2679</v>
      </c>
      <c r="C47" t="s">
        <v>2680</v>
      </c>
      <c r="D47" t="s">
        <v>2691</v>
      </c>
      <c r="E47" t="s">
        <v>2692</v>
      </c>
      <c r="F47" t="s">
        <v>2608</v>
      </c>
      <c r="G47" t="s">
        <v>1690</v>
      </c>
    </row>
    <row r="48" spans="1:7" ht="11.25" customHeight="1">
      <c r="A48" t="s">
        <v>16</v>
      </c>
      <c r="B48" t="s">
        <v>101</v>
      </c>
      <c r="C48" t="s">
        <v>102</v>
      </c>
      <c r="D48" t="s">
        <v>101</v>
      </c>
      <c r="E48" t="s">
        <v>102</v>
      </c>
      <c r="F48" t="s">
        <v>2615</v>
      </c>
      <c r="G48" t="s">
        <v>100</v>
      </c>
    </row>
    <row r="49" spans="1:7" ht="11.25" customHeight="1">
      <c r="A49" t="s">
        <v>16</v>
      </c>
      <c r="B49" t="s">
        <v>2693</v>
      </c>
      <c r="C49" t="s">
        <v>2694</v>
      </c>
      <c r="D49" t="s">
        <v>2695</v>
      </c>
      <c r="E49" t="s">
        <v>2696</v>
      </c>
      <c r="F49" t="s">
        <v>2608</v>
      </c>
      <c r="G49" t="s">
        <v>1697</v>
      </c>
    </row>
    <row r="50" spans="1:7" ht="11.25" customHeight="1">
      <c r="A50" t="s">
        <v>16</v>
      </c>
      <c r="B50" t="s">
        <v>2693</v>
      </c>
      <c r="C50" t="s">
        <v>2694</v>
      </c>
      <c r="D50" t="s">
        <v>2697</v>
      </c>
      <c r="E50" t="s">
        <v>2698</v>
      </c>
      <c r="F50" t="s">
        <v>2612</v>
      </c>
      <c r="G50" t="s">
        <v>1700</v>
      </c>
    </row>
    <row r="51" spans="1:7" ht="11.25" customHeight="1">
      <c r="A51" t="s">
        <v>16</v>
      </c>
      <c r="B51" t="s">
        <v>2693</v>
      </c>
      <c r="C51" t="s">
        <v>2694</v>
      </c>
      <c r="D51" t="s">
        <v>2693</v>
      </c>
      <c r="E51" t="s">
        <v>2694</v>
      </c>
      <c r="F51" t="s">
        <v>2609</v>
      </c>
      <c r="G51" t="s">
        <v>1705</v>
      </c>
    </row>
    <row r="52" spans="1:7" ht="11.25" customHeight="1">
      <c r="A52" t="s">
        <v>16</v>
      </c>
      <c r="B52" t="s">
        <v>2693</v>
      </c>
      <c r="C52" t="s">
        <v>2694</v>
      </c>
      <c r="D52" t="s">
        <v>2699</v>
      </c>
      <c r="E52" t="s">
        <v>2700</v>
      </c>
      <c r="F52" t="s">
        <v>2608</v>
      </c>
      <c r="G52" t="s">
        <v>1709</v>
      </c>
    </row>
    <row r="53" spans="1:7" ht="11.25" customHeight="1">
      <c r="A53" t="s">
        <v>16</v>
      </c>
      <c r="B53" t="s">
        <v>2693</v>
      </c>
      <c r="C53" t="s">
        <v>2694</v>
      </c>
      <c r="D53" t="s">
        <v>2701</v>
      </c>
      <c r="E53" t="s">
        <v>2702</v>
      </c>
      <c r="F53" t="s">
        <v>2608</v>
      </c>
      <c r="G53" t="s">
        <v>1711</v>
      </c>
    </row>
    <row r="54" spans="1:7" ht="11.25" customHeight="1">
      <c r="A54" t="s">
        <v>16</v>
      </c>
      <c r="B54" t="s">
        <v>2703</v>
      </c>
      <c r="C54" t="s">
        <v>2704</v>
      </c>
      <c r="D54" t="s">
        <v>2705</v>
      </c>
      <c r="E54" t="s">
        <v>2706</v>
      </c>
      <c r="F54" t="s">
        <v>2612</v>
      </c>
      <c r="G54" t="s">
        <v>1714</v>
      </c>
    </row>
    <row r="55" spans="1:7" ht="11.25" customHeight="1">
      <c r="A55" t="s">
        <v>16</v>
      </c>
      <c r="B55" t="s">
        <v>2703</v>
      </c>
      <c r="C55" t="s">
        <v>2704</v>
      </c>
      <c r="D55" t="s">
        <v>2707</v>
      </c>
      <c r="E55" t="s">
        <v>2708</v>
      </c>
      <c r="F55" t="s">
        <v>2608</v>
      </c>
      <c r="G55" t="s">
        <v>1719</v>
      </c>
    </row>
    <row r="56" spans="1:7" ht="11.25" customHeight="1">
      <c r="A56" t="s">
        <v>16</v>
      </c>
      <c r="B56" t="s">
        <v>2703</v>
      </c>
      <c r="C56" t="s">
        <v>2704</v>
      </c>
      <c r="D56" t="s">
        <v>2709</v>
      </c>
      <c r="E56" t="s">
        <v>2710</v>
      </c>
      <c r="F56" t="s">
        <v>2608</v>
      </c>
      <c r="G56" t="s">
        <v>1722</v>
      </c>
    </row>
    <row r="57" spans="1:7" ht="11.25" customHeight="1">
      <c r="A57" t="s">
        <v>16</v>
      </c>
      <c r="B57" t="s">
        <v>2703</v>
      </c>
      <c r="C57" t="s">
        <v>2704</v>
      </c>
      <c r="D57" t="s">
        <v>2711</v>
      </c>
      <c r="E57" t="s">
        <v>2712</v>
      </c>
      <c r="F57" t="s">
        <v>2608</v>
      </c>
      <c r="G57" t="s">
        <v>1725</v>
      </c>
    </row>
    <row r="58" spans="1:7" ht="11.25" customHeight="1">
      <c r="A58" t="s">
        <v>16</v>
      </c>
      <c r="B58" t="s">
        <v>2703</v>
      </c>
      <c r="C58" t="s">
        <v>2704</v>
      </c>
      <c r="D58" t="s">
        <v>2713</v>
      </c>
      <c r="E58" t="s">
        <v>2714</v>
      </c>
      <c r="F58" t="s">
        <v>2608</v>
      </c>
      <c r="G58" t="s">
        <v>1728</v>
      </c>
    </row>
    <row r="59" spans="1:7" ht="11.25" customHeight="1">
      <c r="A59" t="s">
        <v>16</v>
      </c>
      <c r="B59" t="s">
        <v>2703</v>
      </c>
      <c r="C59" t="s">
        <v>2704</v>
      </c>
      <c r="D59" t="s">
        <v>2715</v>
      </c>
      <c r="E59" t="s">
        <v>2716</v>
      </c>
      <c r="F59" t="s">
        <v>2608</v>
      </c>
      <c r="G59" t="s">
        <v>1732</v>
      </c>
    </row>
    <row r="60" spans="1:7" ht="11.25" customHeight="1">
      <c r="A60" t="s">
        <v>16</v>
      </c>
      <c r="B60" t="s">
        <v>2703</v>
      </c>
      <c r="C60" t="s">
        <v>2704</v>
      </c>
      <c r="D60" t="s">
        <v>2717</v>
      </c>
      <c r="E60" t="s">
        <v>2718</v>
      </c>
      <c r="F60" t="s">
        <v>2608</v>
      </c>
      <c r="G60" t="s">
        <v>1735</v>
      </c>
    </row>
    <row r="61" spans="1:7" ht="11.25" customHeight="1">
      <c r="A61" t="s">
        <v>16</v>
      </c>
      <c r="B61" t="s">
        <v>2703</v>
      </c>
      <c r="C61" t="s">
        <v>2704</v>
      </c>
      <c r="D61" t="s">
        <v>2719</v>
      </c>
      <c r="E61" t="s">
        <v>2720</v>
      </c>
      <c r="F61" t="s">
        <v>2608</v>
      </c>
      <c r="G61" t="s">
        <v>2721</v>
      </c>
    </row>
    <row r="62" spans="1:7" ht="11.25" customHeight="1">
      <c r="A62" t="s">
        <v>16</v>
      </c>
      <c r="B62" t="s">
        <v>2703</v>
      </c>
      <c r="C62" t="s">
        <v>2704</v>
      </c>
      <c r="D62" t="s">
        <v>2703</v>
      </c>
      <c r="E62" t="s">
        <v>2704</v>
      </c>
      <c r="F62" t="s">
        <v>2609</v>
      </c>
      <c r="G62" t="s">
        <v>2722</v>
      </c>
    </row>
    <row r="63" spans="1:7" ht="11.25" customHeight="1">
      <c r="A63" t="s">
        <v>16</v>
      </c>
      <c r="B63" t="s">
        <v>2723</v>
      </c>
      <c r="C63" t="s">
        <v>2724</v>
      </c>
      <c r="D63" t="s">
        <v>2725</v>
      </c>
      <c r="E63" t="s">
        <v>2726</v>
      </c>
      <c r="F63" t="s">
        <v>2608</v>
      </c>
      <c r="G63" t="s">
        <v>2727</v>
      </c>
    </row>
    <row r="64" spans="1:7" ht="11.25" customHeight="1">
      <c r="A64" t="s">
        <v>16</v>
      </c>
      <c r="B64" t="s">
        <v>2723</v>
      </c>
      <c r="C64" t="s">
        <v>2724</v>
      </c>
      <c r="D64" t="s">
        <v>2728</v>
      </c>
      <c r="E64" t="s">
        <v>2729</v>
      </c>
      <c r="F64" t="s">
        <v>2608</v>
      </c>
      <c r="G64" t="s">
        <v>2730</v>
      </c>
    </row>
    <row r="65" spans="1:7" ht="11.25" customHeight="1">
      <c r="A65" t="s">
        <v>16</v>
      </c>
      <c r="B65" t="s">
        <v>2723</v>
      </c>
      <c r="C65" t="s">
        <v>2724</v>
      </c>
      <c r="D65" t="s">
        <v>2731</v>
      </c>
      <c r="E65" t="s">
        <v>2732</v>
      </c>
      <c r="F65" t="s">
        <v>2608</v>
      </c>
      <c r="G65" t="s">
        <v>2733</v>
      </c>
    </row>
    <row r="66" spans="1:7" ht="11.25" customHeight="1">
      <c r="A66" t="s">
        <v>16</v>
      </c>
      <c r="B66" t="s">
        <v>2723</v>
      </c>
      <c r="C66" t="s">
        <v>2724</v>
      </c>
      <c r="D66" t="s">
        <v>2734</v>
      </c>
      <c r="E66" t="s">
        <v>2735</v>
      </c>
      <c r="F66" t="s">
        <v>2612</v>
      </c>
      <c r="G66" t="s">
        <v>2736</v>
      </c>
    </row>
    <row r="67" spans="1:7" ht="11.25" customHeight="1">
      <c r="A67" t="s">
        <v>16</v>
      </c>
      <c r="B67" t="s">
        <v>2723</v>
      </c>
      <c r="C67" t="s">
        <v>2724</v>
      </c>
      <c r="D67" t="s">
        <v>2737</v>
      </c>
      <c r="E67" t="s">
        <v>2738</v>
      </c>
      <c r="F67" t="s">
        <v>2619</v>
      </c>
      <c r="G67" t="s">
        <v>2054</v>
      </c>
    </row>
    <row r="68" spans="1:7" ht="11.25" customHeight="1">
      <c r="A68" t="s">
        <v>16</v>
      </c>
      <c r="B68" t="s">
        <v>2723</v>
      </c>
      <c r="C68" t="s">
        <v>2724</v>
      </c>
      <c r="D68" t="s">
        <v>2739</v>
      </c>
      <c r="E68" t="s">
        <v>2740</v>
      </c>
      <c r="F68" t="s">
        <v>2619</v>
      </c>
      <c r="G68" t="s">
        <v>2741</v>
      </c>
    </row>
    <row r="69" spans="1:7" ht="11.25" customHeight="1">
      <c r="A69" t="s">
        <v>16</v>
      </c>
      <c r="B69" t="s">
        <v>2723</v>
      </c>
      <c r="C69" t="s">
        <v>2724</v>
      </c>
      <c r="D69" t="s">
        <v>2723</v>
      </c>
      <c r="E69" t="s">
        <v>2724</v>
      </c>
      <c r="F69" t="s">
        <v>2609</v>
      </c>
      <c r="G69" t="s">
        <v>2257</v>
      </c>
    </row>
    <row r="70" spans="1:7" ht="11.25" customHeight="1">
      <c r="A70" t="s">
        <v>16</v>
      </c>
      <c r="B70" t="s">
        <v>2723</v>
      </c>
      <c r="C70" t="s">
        <v>2724</v>
      </c>
      <c r="D70" t="s">
        <v>2742</v>
      </c>
      <c r="E70" t="s">
        <v>2743</v>
      </c>
      <c r="F70" t="s">
        <v>2608</v>
      </c>
      <c r="G70" t="s">
        <v>2744</v>
      </c>
    </row>
    <row r="71" spans="1:7" ht="11.25" customHeight="1">
      <c r="A71" t="s">
        <v>16</v>
      </c>
      <c r="B71" t="s">
        <v>2745</v>
      </c>
      <c r="C71" t="s">
        <v>2746</v>
      </c>
      <c r="D71" t="s">
        <v>2747</v>
      </c>
      <c r="E71" t="s">
        <v>2748</v>
      </c>
      <c r="F71" t="s">
        <v>2612</v>
      </c>
      <c r="G71" t="s">
        <v>2749</v>
      </c>
    </row>
    <row r="72" spans="1:7" ht="11.25" customHeight="1">
      <c r="A72" t="s">
        <v>16</v>
      </c>
      <c r="B72" t="s">
        <v>2745</v>
      </c>
      <c r="C72" t="s">
        <v>2746</v>
      </c>
      <c r="D72" t="s">
        <v>2750</v>
      </c>
      <c r="E72" t="s">
        <v>2751</v>
      </c>
      <c r="F72" t="s">
        <v>2608</v>
      </c>
      <c r="G72" t="s">
        <v>2752</v>
      </c>
    </row>
    <row r="73" spans="1:7" ht="11.25" customHeight="1">
      <c r="A73" t="s">
        <v>16</v>
      </c>
      <c r="B73" t="s">
        <v>2745</v>
      </c>
      <c r="C73" t="s">
        <v>2746</v>
      </c>
      <c r="D73" t="s">
        <v>2753</v>
      </c>
      <c r="E73" t="s">
        <v>2754</v>
      </c>
      <c r="F73" t="s">
        <v>2608</v>
      </c>
      <c r="G73" t="s">
        <v>2755</v>
      </c>
    </row>
    <row r="74" spans="1:7" ht="11.25" customHeight="1">
      <c r="A74" t="s">
        <v>16</v>
      </c>
      <c r="B74" t="s">
        <v>2745</v>
      </c>
      <c r="C74" t="s">
        <v>2746</v>
      </c>
      <c r="D74" t="s">
        <v>2745</v>
      </c>
      <c r="E74" t="s">
        <v>2746</v>
      </c>
      <c r="F74" t="s">
        <v>2609</v>
      </c>
      <c r="G74" t="s">
        <v>2756</v>
      </c>
    </row>
    <row r="75" spans="1:7" ht="11.25" customHeight="1">
      <c r="A75" t="s">
        <v>16</v>
      </c>
      <c r="B75" t="s">
        <v>2745</v>
      </c>
      <c r="C75" t="s">
        <v>2746</v>
      </c>
      <c r="D75" t="s">
        <v>2757</v>
      </c>
      <c r="E75" t="s">
        <v>2758</v>
      </c>
      <c r="F75" t="s">
        <v>2608</v>
      </c>
      <c r="G75" t="s">
        <v>2759</v>
      </c>
    </row>
    <row r="76" spans="1:7" ht="11.25" customHeight="1">
      <c r="A76" t="s">
        <v>16</v>
      </c>
      <c r="B76" t="s">
        <v>2760</v>
      </c>
      <c r="C76" t="s">
        <v>2761</v>
      </c>
      <c r="D76" t="s">
        <v>2760</v>
      </c>
      <c r="E76" t="s">
        <v>2761</v>
      </c>
      <c r="F76" t="s">
        <v>2615</v>
      </c>
      <c r="G76" t="s">
        <v>2762</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6CEFD8-CB3C-1C29-FBDC-B76477BE24DC}">
  <sheetPr>
    <tabColor rgb="FFFFCC99"/>
  </sheetPr>
  <dimension ref="A1:C3"/>
  <sheetViews>
    <sheetView showGridLines="0" workbookViewId="0"/>
  </sheetViews>
  <sheetFormatPr defaultColWidth="9.09765625" defaultRowHeight="11.25" customHeight="1"/>
  <cols>
    <col min="1" max="1" width="9.09765625" style="3000"/>
    <col min="2" max="2" width="84.296875" style="3000" customWidth="1"/>
    <col min="3" max="3" width="9.09765625" style="3000"/>
  </cols>
  <sheetData>
    <row r="1" spans="1:3" ht="11.25" customHeight="1">
      <c r="A1" s="763" t="s">
        <v>2790</v>
      </c>
      <c r="B1" s="763" t="s">
        <v>2791</v>
      </c>
      <c r="C1" s="763" t="s">
        <v>1201</v>
      </c>
    </row>
    <row r="2" spans="1:3" ht="11.25" customHeight="1">
      <c r="A2" s="763">
        <v>4189678</v>
      </c>
      <c r="B2" s="763" t="s">
        <v>2792</v>
      </c>
      <c r="C2" s="763" t="s">
        <v>2793</v>
      </c>
    </row>
    <row r="3" spans="1:3" ht="11.25" customHeight="1">
      <c r="A3" s="763">
        <v>4190415</v>
      </c>
      <c r="B3" s="763" t="s">
        <v>2794</v>
      </c>
      <c r="C3" s="763" t="s">
        <v>2793</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5E5806-BF62-A60B-9E5B-B9545425D356}">
  <sheetPr>
    <tabColor rgb="FFFFCC99"/>
  </sheetPr>
  <dimension ref="A1:E8"/>
  <sheetViews>
    <sheetView showGridLines="0" workbookViewId="0"/>
  </sheetViews>
  <sheetFormatPr defaultColWidth="9.09765625" defaultRowHeight="15" customHeight="1"/>
  <cols>
    <col min="1" max="1" width="38.3984375" style="3018" customWidth="1"/>
    <col min="2" max="5" width="9.09765625" style="3018"/>
  </cols>
  <sheetData>
    <row r="1" spans="1:5" ht="15" customHeight="1">
      <c r="A1" s="98" t="s">
        <v>2795</v>
      </c>
      <c r="B1" s="98" t="s">
        <v>2796</v>
      </c>
      <c r="C1" s="98"/>
      <c r="D1" s="98"/>
      <c r="E1" s="98"/>
    </row>
    <row r="2" spans="1:5" ht="15" customHeight="1">
      <c r="A2" s="98"/>
      <c r="B2" s="98"/>
      <c r="C2" s="98"/>
      <c r="D2" s="98"/>
      <c r="E2" s="98"/>
    </row>
    <row r="3" spans="1:5" ht="15" customHeight="1">
      <c r="A3" s="98"/>
      <c r="B3" s="98"/>
      <c r="C3" s="98"/>
      <c r="D3" s="98"/>
      <c r="E3" s="98"/>
    </row>
    <row r="4" spans="1:5" ht="15" customHeight="1">
      <c r="A4" s="98"/>
      <c r="B4" s="98"/>
      <c r="C4" s="98"/>
      <c r="D4" s="98"/>
      <c r="E4" s="98"/>
    </row>
    <row r="5" spans="1:5" ht="15" customHeight="1">
      <c r="A5" s="98"/>
      <c r="B5" s="98"/>
      <c r="C5" s="98"/>
      <c r="D5" s="98"/>
      <c r="E5" s="98"/>
    </row>
    <row r="6" spans="1:5" ht="15" customHeight="1">
      <c r="A6" s="98"/>
      <c r="B6" s="98"/>
      <c r="C6" s="98"/>
      <c r="D6" s="98"/>
      <c r="E6" s="98"/>
    </row>
    <row r="7" spans="1:5" ht="15" customHeight="1">
      <c r="A7" s="98"/>
      <c r="B7" s="98"/>
      <c r="C7" s="98"/>
      <c r="D7" s="98"/>
      <c r="E7" s="98"/>
    </row>
    <row r="8" spans="1:5" ht="15" customHeight="1">
      <c r="A8" s="98"/>
      <c r="B8" s="98"/>
      <c r="C8" s="98"/>
      <c r="D8" s="98"/>
      <c r="E8" s="98"/>
    </row>
  </sheetData>
  <sheetProtection formatColumns="0" formatRows="0"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CE5DB9-8E1A-9A0C-1F11-C0F2632B8E62}">
  <sheetPr>
    <tabColor rgb="FFFFCC99"/>
  </sheetPr>
  <dimension ref="A1:B15"/>
  <sheetViews>
    <sheetView workbookViewId="0"/>
  </sheetViews>
  <sheetFormatPr defaultRowHeight="11.25" customHeight="1"/>
  <sheetData>
    <row r="1" spans="1:2" ht="11.25" customHeight="1">
      <c r="A1" t="s">
        <v>2797</v>
      </c>
      <c r="B1" t="b">
        <v>1</v>
      </c>
    </row>
    <row r="2" spans="1:2" ht="11.25" customHeight="1">
      <c r="A2" t="s">
        <v>2798</v>
      </c>
      <c r="B2" t="b">
        <v>0</v>
      </c>
    </row>
    <row r="3" spans="1:2" ht="11.25" customHeight="1">
      <c r="A3" t="s">
        <v>2799</v>
      </c>
      <c r="B3" t="b">
        <v>1</v>
      </c>
    </row>
    <row r="4" spans="1:2" ht="11.25" customHeight="1">
      <c r="A4" t="s">
        <v>2800</v>
      </c>
      <c r="B4" t="b">
        <v>0</v>
      </c>
    </row>
    <row r="5" spans="1:2" ht="11.25" customHeight="1">
      <c r="A5" t="s">
        <v>2801</v>
      </c>
      <c r="B5" t="b">
        <v>0</v>
      </c>
    </row>
    <row r="6" spans="1:2" ht="11.25" customHeight="1">
      <c r="A6" t="s">
        <v>2802</v>
      </c>
      <c r="B6" t="b">
        <v>0</v>
      </c>
    </row>
    <row r="7" spans="1:2" ht="11.25" customHeight="1">
      <c r="A7" t="s">
        <v>2803</v>
      </c>
      <c r="B7" t="b">
        <v>0</v>
      </c>
    </row>
    <row r="8" spans="1:2" ht="11.25" customHeight="1">
      <c r="A8" t="s">
        <v>2804</v>
      </c>
      <c r="B8" t="b">
        <v>0</v>
      </c>
    </row>
    <row r="9" spans="1:2" ht="11.25" customHeight="1">
      <c r="A9" t="s">
        <v>2805</v>
      </c>
      <c r="B9" t="b">
        <v>0</v>
      </c>
    </row>
    <row r="10" spans="1:2" ht="11.25" customHeight="1">
      <c r="A10" t="s">
        <v>2806</v>
      </c>
      <c r="B10" t="b">
        <v>0</v>
      </c>
    </row>
    <row r="11" spans="1:2" ht="11.25" customHeight="1">
      <c r="A11" t="s">
        <v>2807</v>
      </c>
      <c r="B11" t="b">
        <v>0</v>
      </c>
    </row>
    <row r="12" spans="1:2" ht="11.25" customHeight="1">
      <c r="A12" t="s">
        <v>2808</v>
      </c>
      <c r="B12" t="b">
        <v>0</v>
      </c>
    </row>
    <row r="13" spans="1:2" ht="11.25" customHeight="1">
      <c r="A13" t="s">
        <v>2809</v>
      </c>
      <c r="B13" t="b">
        <v>0</v>
      </c>
    </row>
    <row r="14" spans="1:2" ht="11.25" customHeight="1">
      <c r="A14" t="s">
        <v>2810</v>
      </c>
      <c r="B14" t="b">
        <v>1</v>
      </c>
    </row>
    <row r="15" spans="1:2" ht="11.25" customHeight="1">
      <c r="A15" t="s">
        <v>2811</v>
      </c>
      <c r="B15" t="b">
        <v>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95B824-04E1-4713-0ECC-2B9151B34CF7}">
  <sheetPr>
    <tabColor rgb="FFFFCC99"/>
  </sheetPr>
  <dimension ref="A1"/>
  <sheetViews>
    <sheetView showGridLines="0" workbookViewId="0"/>
  </sheetViews>
  <sheetFormatPr defaultColWidth="9.09765625" defaultRowHeight="12.75" customHeight="1"/>
  <cols>
    <col min="1" max="1" width="9.09765625" style="2000"/>
  </cols>
  <sheetData>
    <row r="1" spans="1:1" ht="12.75" customHeight="1">
      <c r="A1" s="2"/>
    </row>
  </sheetData>
  <sheetProtection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2B7D6-5E72-ABEE-48C6-9A307EA2C8D6}">
  <sheetPr>
    <tabColor rgb="FFFFCC99"/>
  </sheetPr>
  <dimension ref="A1:B253"/>
  <sheetViews>
    <sheetView showGridLines="0" workbookViewId="0"/>
  </sheetViews>
  <sheetFormatPr defaultColWidth="9.09765625" defaultRowHeight="11.25" customHeight="1"/>
  <cols>
    <col min="1" max="1" width="36.296875" style="2021" customWidth="1"/>
    <col min="2" max="2" width="21.09765625" style="2021" customWidth="1"/>
  </cols>
  <sheetData>
    <row r="1" spans="1:2" ht="11.25" customHeight="1">
      <c r="A1" s="5" t="s">
        <v>2812</v>
      </c>
      <c r="B1" s="5" t="s">
        <v>2813</v>
      </c>
    </row>
    <row r="2" spans="1:2" ht="11.25" customHeight="1">
      <c r="A2" s="1" t="s">
        <v>2814</v>
      </c>
      <c r="B2" s="1" t="s">
        <v>2815</v>
      </c>
    </row>
    <row r="3" spans="1:2" ht="11.25" customHeight="1">
      <c r="A3" s="1" t="s">
        <v>2816</v>
      </c>
      <c r="B3" s="1" t="s">
        <v>2817</v>
      </c>
    </row>
    <row r="4" spans="1:2" ht="11.25" customHeight="1">
      <c r="A4" s="1" t="s">
        <v>2818</v>
      </c>
      <c r="B4" s="1" t="s">
        <v>2819</v>
      </c>
    </row>
    <row r="5" spans="1:2" ht="11.25" customHeight="1">
      <c r="A5" s="1" t="s">
        <v>2820</v>
      </c>
      <c r="B5" s="1" t="s">
        <v>2821</v>
      </c>
    </row>
    <row r="6" spans="1:2" ht="11.25" customHeight="1">
      <c r="A6" s="1" t="s">
        <v>2822</v>
      </c>
      <c r="B6" s="1" t="s">
        <v>2823</v>
      </c>
    </row>
    <row r="7" spans="1:2" ht="11.25" customHeight="1">
      <c r="A7" s="1" t="s">
        <v>2824</v>
      </c>
      <c r="B7" s="1" t="s">
        <v>2825</v>
      </c>
    </row>
    <row r="8" spans="1:2" ht="11.25" customHeight="1">
      <c r="A8" s="1" t="s">
        <v>2826</v>
      </c>
      <c r="B8" s="1" t="s">
        <v>2827</v>
      </c>
    </row>
    <row r="9" spans="1:2" ht="11.25" customHeight="1">
      <c r="A9" s="1" t="s">
        <v>2828</v>
      </c>
      <c r="B9" s="1" t="s">
        <v>2829</v>
      </c>
    </row>
    <row r="10" spans="1:2" ht="11.25" customHeight="1">
      <c r="A10" s="1" t="s">
        <v>2830</v>
      </c>
      <c r="B10" s="1" t="s">
        <v>2831</v>
      </c>
    </row>
    <row r="11" spans="1:2" ht="11.25" customHeight="1">
      <c r="A11" s="1" t="s">
        <v>2832</v>
      </c>
      <c r="B11" s="1" t="s">
        <v>2833</v>
      </c>
    </row>
    <row r="12" spans="1:2" ht="11.25" customHeight="1">
      <c r="A12" s="1" t="s">
        <v>2834</v>
      </c>
      <c r="B12" s="1" t="s">
        <v>2835</v>
      </c>
    </row>
    <row r="13" spans="1:2" ht="11.25" customHeight="1">
      <c r="A13" s="1" t="s">
        <v>2836</v>
      </c>
      <c r="B13" s="1" t="s">
        <v>2837</v>
      </c>
    </row>
    <row r="14" spans="1:2" ht="11.25" customHeight="1">
      <c r="A14" s="1" t="s">
        <v>2838</v>
      </c>
      <c r="B14" s="1" t="s">
        <v>2839</v>
      </c>
    </row>
    <row r="15" spans="1:2" ht="11.25" customHeight="1">
      <c r="A15" s="1" t="s">
        <v>2840</v>
      </c>
      <c r="B15" s="1" t="s">
        <v>2841</v>
      </c>
    </row>
    <row r="16" spans="1:2" ht="11.25" customHeight="1">
      <c r="A16" s="1" t="s">
        <v>2842</v>
      </c>
      <c r="B16" s="1" t="s">
        <v>2843</v>
      </c>
    </row>
    <row r="17" spans="1:2" ht="11.25" customHeight="1">
      <c r="A17" s="1" t="s">
        <v>2844</v>
      </c>
      <c r="B17" s="1" t="s">
        <v>2845</v>
      </c>
    </row>
    <row r="18" spans="1:2" ht="11.25" customHeight="1">
      <c r="A18" s="1" t="s">
        <v>2846</v>
      </c>
      <c r="B18" s="1" t="s">
        <v>2847</v>
      </c>
    </row>
    <row r="19" spans="1:2" ht="11.25" customHeight="1">
      <c r="A19" s="1" t="s">
        <v>2848</v>
      </c>
      <c r="B19" s="1" t="s">
        <v>2849</v>
      </c>
    </row>
    <row r="20" spans="1:2" ht="11.25" customHeight="1">
      <c r="A20" s="1" t="s">
        <v>2850</v>
      </c>
      <c r="B20" s="1" t="s">
        <v>2851</v>
      </c>
    </row>
    <row r="21" spans="1:2" ht="11.25" customHeight="1">
      <c r="A21" s="1" t="s">
        <v>2852</v>
      </c>
      <c r="B21" s="1" t="s">
        <v>2853</v>
      </c>
    </row>
    <row r="22" spans="1:2" ht="11.25" customHeight="1">
      <c r="A22" s="1" t="s">
        <v>2854</v>
      </c>
      <c r="B22" s="1" t="s">
        <v>2855</v>
      </c>
    </row>
    <row r="23" spans="1:2" ht="11.25" customHeight="1">
      <c r="A23" s="1" t="s">
        <v>2856</v>
      </c>
      <c r="B23" s="1" t="s">
        <v>2857</v>
      </c>
    </row>
    <row r="24" spans="1:2" ht="11.25" customHeight="1">
      <c r="A24" s="1" t="s">
        <v>2858</v>
      </c>
      <c r="B24" s="1" t="s">
        <v>2859</v>
      </c>
    </row>
    <row r="25" spans="1:2" ht="11.25" customHeight="1">
      <c r="A25" s="1" t="s">
        <v>2860</v>
      </c>
      <c r="B25" s="1" t="s">
        <v>2861</v>
      </c>
    </row>
    <row r="26" spans="1:2" ht="11.25" customHeight="1">
      <c r="A26" s="1" t="s">
        <v>2862</v>
      </c>
      <c r="B26" s="1" t="s">
        <v>2863</v>
      </c>
    </row>
    <row r="27" spans="1:2" ht="11.25" customHeight="1">
      <c r="A27" s="1" t="s">
        <v>2864</v>
      </c>
      <c r="B27" s="1" t="s">
        <v>2865</v>
      </c>
    </row>
    <row r="28" spans="1:2" ht="11.25" customHeight="1">
      <c r="A28" s="1" t="s">
        <v>2866</v>
      </c>
      <c r="B28" s="1" t="s">
        <v>2867</v>
      </c>
    </row>
    <row r="29" spans="1:2" ht="11.25" customHeight="1">
      <c r="A29" s="1" t="s">
        <v>2868</v>
      </c>
      <c r="B29" s="1" t="s">
        <v>2869</v>
      </c>
    </row>
    <row r="30" spans="1:2" ht="11.25" customHeight="1">
      <c r="A30" s="1" t="s">
        <v>2870</v>
      </c>
      <c r="B30" s="1" t="s">
        <v>2871</v>
      </c>
    </row>
    <row r="31" spans="1:2" ht="11.25" customHeight="1">
      <c r="A31" s="1" t="s">
        <v>2872</v>
      </c>
      <c r="B31" s="1" t="s">
        <v>2873</v>
      </c>
    </row>
    <row r="32" spans="1:2" ht="11.25" customHeight="1">
      <c r="A32" s="1" t="s">
        <v>2874</v>
      </c>
      <c r="B32" s="1" t="s">
        <v>2875</v>
      </c>
    </row>
    <row r="33" spans="1:2" ht="11.25" customHeight="1">
      <c r="A33" s="1" t="s">
        <v>2876</v>
      </c>
      <c r="B33" s="1" t="s">
        <v>2877</v>
      </c>
    </row>
    <row r="34" spans="1:2" ht="11.25" customHeight="1">
      <c r="A34" s="1" t="s">
        <v>2878</v>
      </c>
      <c r="B34" s="1" t="s">
        <v>2879</v>
      </c>
    </row>
    <row r="35" spans="1:2" ht="11.25" customHeight="1">
      <c r="A35" s="1" t="s">
        <v>2880</v>
      </c>
      <c r="B35" s="1" t="s">
        <v>2881</v>
      </c>
    </row>
    <row r="36" spans="1:2" ht="11.25" customHeight="1">
      <c r="A36" s="1" t="s">
        <v>2882</v>
      </c>
      <c r="B36" s="1" t="s">
        <v>2883</v>
      </c>
    </row>
    <row r="37" spans="1:2" ht="11.25" customHeight="1">
      <c r="A37" s="1" t="s">
        <v>2884</v>
      </c>
      <c r="B37" s="1" t="s">
        <v>2885</v>
      </c>
    </row>
    <row r="38" spans="1:2" ht="11.25" customHeight="1">
      <c r="A38" s="1" t="s">
        <v>2886</v>
      </c>
      <c r="B38" s="1" t="s">
        <v>2887</v>
      </c>
    </row>
    <row r="39" spans="1:2" ht="11.25" customHeight="1">
      <c r="A39" s="1" t="s">
        <v>2888</v>
      </c>
      <c r="B39" s="1" t="s">
        <v>2889</v>
      </c>
    </row>
    <row r="40" spans="1:2" ht="11.25" customHeight="1">
      <c r="A40" s="1" t="s">
        <v>2890</v>
      </c>
      <c r="B40" s="1" t="s">
        <v>2891</v>
      </c>
    </row>
    <row r="41" spans="1:2" ht="11.25" customHeight="1">
      <c r="A41" s="1" t="s">
        <v>2892</v>
      </c>
      <c r="B41" s="1" t="s">
        <v>2893</v>
      </c>
    </row>
    <row r="42" spans="1:2" ht="11.25" customHeight="1">
      <c r="A42" s="1" t="s">
        <v>2894</v>
      </c>
      <c r="B42" s="1" t="s">
        <v>2895</v>
      </c>
    </row>
    <row r="43" spans="1:2" ht="11.25" customHeight="1">
      <c r="A43" s="1" t="s">
        <v>2896</v>
      </c>
      <c r="B43" s="1" t="s">
        <v>2897</v>
      </c>
    </row>
    <row r="44" spans="1:2" ht="11.25" customHeight="1">
      <c r="A44" s="1" t="s">
        <v>2898</v>
      </c>
      <c r="B44" s="1" t="s">
        <v>2899</v>
      </c>
    </row>
    <row r="45" spans="1:2" ht="11.25" customHeight="1">
      <c r="A45" s="1" t="s">
        <v>2900</v>
      </c>
      <c r="B45" s="1" t="s">
        <v>2901</v>
      </c>
    </row>
    <row r="46" spans="1:2" ht="11.25" customHeight="1">
      <c r="A46" s="1" t="s">
        <v>2902</v>
      </c>
      <c r="B46" s="1" t="s">
        <v>2903</v>
      </c>
    </row>
    <row r="47" spans="1:2" ht="11.25" customHeight="1">
      <c r="A47" s="1" t="s">
        <v>2904</v>
      </c>
      <c r="B47" s="1" t="s">
        <v>2905</v>
      </c>
    </row>
    <row r="48" spans="1:2" ht="11.25" customHeight="1">
      <c r="A48" s="1" t="s">
        <v>2906</v>
      </c>
      <c r="B48" s="1" t="s">
        <v>2907</v>
      </c>
    </row>
    <row r="49" spans="1:2" ht="11.25" customHeight="1">
      <c r="A49" s="1" t="s">
        <v>2908</v>
      </c>
      <c r="B49" s="1" t="s">
        <v>2909</v>
      </c>
    </row>
    <row r="50" spans="1:2" ht="11.25" customHeight="1">
      <c r="A50" s="1" t="s">
        <v>2910</v>
      </c>
      <c r="B50" s="1" t="s">
        <v>2911</v>
      </c>
    </row>
    <row r="51" spans="1:2" ht="11.25" customHeight="1">
      <c r="A51" s="1" t="s">
        <v>2912</v>
      </c>
      <c r="B51" s="1" t="s">
        <v>2913</v>
      </c>
    </row>
    <row r="52" spans="1:2" ht="11.25" customHeight="1">
      <c r="A52" s="1" t="s">
        <v>2914</v>
      </c>
      <c r="B52" s="1" t="s">
        <v>2915</v>
      </c>
    </row>
    <row r="53" spans="1:2" ht="11.25" customHeight="1">
      <c r="A53" s="1" t="s">
        <v>2916</v>
      </c>
      <c r="B53" s="1" t="s">
        <v>2917</v>
      </c>
    </row>
    <row r="54" spans="1:2" ht="11.25" customHeight="1">
      <c r="A54" s="1" t="s">
        <v>2918</v>
      </c>
      <c r="B54" s="1" t="s">
        <v>2919</v>
      </c>
    </row>
    <row r="55" spans="1:2" ht="11.25" customHeight="1">
      <c r="A55" s="1" t="s">
        <v>2920</v>
      </c>
      <c r="B55" s="1" t="s">
        <v>2921</v>
      </c>
    </row>
    <row r="56" spans="1:2" ht="11.25" customHeight="1">
      <c r="A56" s="1" t="s">
        <v>2922</v>
      </c>
      <c r="B56" s="1" t="s">
        <v>2923</v>
      </c>
    </row>
    <row r="57" spans="1:2" ht="11.25" customHeight="1">
      <c r="A57" s="1" t="s">
        <v>2924</v>
      </c>
      <c r="B57" s="1" t="s">
        <v>2925</v>
      </c>
    </row>
    <row r="58" spans="1:2" ht="11.25" customHeight="1">
      <c r="A58" s="1" t="s">
        <v>2926</v>
      </c>
      <c r="B58" s="1" t="s">
        <v>2927</v>
      </c>
    </row>
    <row r="59" spans="1:2" ht="11.25" customHeight="1">
      <c r="A59" s="1" t="s">
        <v>2928</v>
      </c>
      <c r="B59" s="1" t="s">
        <v>2929</v>
      </c>
    </row>
    <row r="60" spans="1:2" ht="11.25" customHeight="1">
      <c r="A60" s="1" t="s">
        <v>2930</v>
      </c>
      <c r="B60" s="1" t="s">
        <v>2931</v>
      </c>
    </row>
    <row r="61" spans="1:2" ht="11.25" customHeight="1">
      <c r="A61" s="1"/>
      <c r="B61" s="1" t="s">
        <v>2932</v>
      </c>
    </row>
    <row r="62" spans="1:2" ht="11.25" customHeight="1">
      <c r="A62" s="1"/>
      <c r="B62" s="1" t="s">
        <v>2933</v>
      </c>
    </row>
    <row r="63" spans="1:2" ht="11.25" customHeight="1">
      <c r="A63" s="1"/>
      <c r="B63" s="1" t="s">
        <v>2934</v>
      </c>
    </row>
    <row r="64" spans="1:2" ht="11.25" customHeight="1">
      <c r="A64" s="1"/>
      <c r="B64" s="1" t="s">
        <v>2935</v>
      </c>
    </row>
    <row r="65" spans="1:2" ht="11.25" customHeight="1">
      <c r="A65" s="1"/>
      <c r="B65" s="1" t="s">
        <v>2936</v>
      </c>
    </row>
    <row r="66" spans="1:2" ht="11.25" customHeight="1">
      <c r="A66" s="1"/>
      <c r="B66" s="1" t="s">
        <v>2937</v>
      </c>
    </row>
    <row r="67" spans="1:2" ht="11.25" customHeight="1">
      <c r="A67" s="1"/>
      <c r="B67" s="1" t="s">
        <v>2938</v>
      </c>
    </row>
    <row r="68" spans="1:2" ht="11.25" customHeight="1">
      <c r="A68" s="1"/>
      <c r="B68" s="1" t="s">
        <v>2939</v>
      </c>
    </row>
    <row r="69" spans="1:2" ht="11.25" customHeight="1">
      <c r="A69" s="1"/>
      <c r="B69" s="1" t="s">
        <v>2940</v>
      </c>
    </row>
    <row r="70" spans="1:2" ht="11.25" customHeight="1">
      <c r="A70" s="1"/>
      <c r="B70" s="1" t="s">
        <v>2941</v>
      </c>
    </row>
    <row r="71" spans="1:2" ht="11.25" customHeight="1">
      <c r="A71" s="1"/>
      <c r="B71" s="1"/>
    </row>
    <row r="72" spans="1:2" ht="11.25" customHeight="1">
      <c r="A72" s="1"/>
      <c r="B72" s="1"/>
    </row>
    <row r="73" spans="1:2" ht="11.25" customHeight="1">
      <c r="A73" s="1"/>
      <c r="B73" s="1"/>
    </row>
    <row r="74" spans="1:2" ht="11.25" customHeight="1">
      <c r="A74" s="1"/>
      <c r="B74" s="1"/>
    </row>
    <row r="75" spans="1:2" ht="11.25" customHeight="1">
      <c r="A75" s="1"/>
      <c r="B75" s="1"/>
    </row>
    <row r="76" spans="1:2" ht="11.25" customHeight="1">
      <c r="A76" s="1"/>
      <c r="B76" s="1"/>
    </row>
    <row r="77" spans="1:2" ht="11.25" customHeight="1">
      <c r="A77" s="1"/>
      <c r="B77" s="1"/>
    </row>
    <row r="78" spans="1:2" ht="11.25" customHeight="1">
      <c r="A78" s="1"/>
      <c r="B78" s="1"/>
    </row>
    <row r="79" spans="1:2" ht="11.25" customHeight="1">
      <c r="A79" s="1"/>
      <c r="B79" s="1"/>
    </row>
    <row r="80" spans="1:2" ht="11.25" customHeight="1">
      <c r="A80" s="1"/>
      <c r="B80" s="1"/>
    </row>
    <row r="81" spans="1:2" ht="11.25" customHeight="1">
      <c r="A81" s="1"/>
      <c r="B81" s="1"/>
    </row>
    <row r="82" spans="1:2" ht="11.25" customHeight="1">
      <c r="A82" s="1"/>
      <c r="B82" s="1"/>
    </row>
    <row r="83" spans="1:2" ht="11.25" customHeight="1">
      <c r="A83" s="1"/>
      <c r="B83" s="1"/>
    </row>
    <row r="84" spans="1:2" ht="11.25" customHeight="1">
      <c r="A84" s="1"/>
      <c r="B84" s="1"/>
    </row>
    <row r="85" spans="1:2" ht="11.25" customHeight="1">
      <c r="A85" s="1"/>
      <c r="B85" s="1"/>
    </row>
    <row r="86" spans="1:2" ht="11.25" customHeight="1">
      <c r="A86" s="1"/>
      <c r="B86" s="1"/>
    </row>
    <row r="87" spans="1:2" ht="11.25" customHeight="1">
      <c r="A87" s="1"/>
      <c r="B87" s="1"/>
    </row>
    <row r="88" spans="1:2" ht="11.25" customHeight="1">
      <c r="A88" s="1"/>
      <c r="B88" s="1"/>
    </row>
    <row r="89" spans="1:2" ht="11.25" customHeight="1">
      <c r="A89" s="1"/>
      <c r="B89" s="1"/>
    </row>
    <row r="90" spans="1:2" ht="11.25" customHeight="1">
      <c r="A90" s="1"/>
      <c r="B90" s="1"/>
    </row>
    <row r="91" spans="1:2" ht="11.25" customHeight="1">
      <c r="A91" s="1"/>
      <c r="B91" s="1"/>
    </row>
    <row r="92" spans="1:2" ht="11.25" customHeight="1">
      <c r="A92" s="1"/>
      <c r="B92" s="1"/>
    </row>
    <row r="93" spans="1:2" ht="11.25" customHeight="1">
      <c r="A93" s="1"/>
      <c r="B93" s="1"/>
    </row>
    <row r="94" spans="1:2" ht="11.25" customHeight="1">
      <c r="A94" s="1"/>
      <c r="B94" s="1"/>
    </row>
    <row r="95" spans="1:2" ht="11.25" customHeight="1">
      <c r="A95" s="1"/>
      <c r="B95" s="1"/>
    </row>
    <row r="96" spans="1:2" ht="11.25" customHeight="1">
      <c r="A96" s="1"/>
      <c r="B96" s="1"/>
    </row>
    <row r="97" spans="1:2" ht="11.25" customHeight="1">
      <c r="A97" s="1"/>
      <c r="B97" s="1"/>
    </row>
    <row r="98" spans="1:2" ht="11.25" customHeight="1">
      <c r="A98" s="1"/>
      <c r="B98" s="1"/>
    </row>
    <row r="99" spans="1:2" ht="11.25" customHeight="1">
      <c r="A99" s="1"/>
      <c r="B99" s="1"/>
    </row>
    <row r="100" spans="1:2" ht="11.25" customHeight="1">
      <c r="A100" s="1"/>
      <c r="B100" s="1"/>
    </row>
    <row r="101" spans="1:2" ht="11.25" customHeight="1">
      <c r="A101" s="1"/>
      <c r="B101" s="1"/>
    </row>
    <row r="102" spans="1:2" ht="11.25" customHeight="1">
      <c r="A102" s="1"/>
      <c r="B102" s="1"/>
    </row>
    <row r="103" spans="1:2" ht="11.25" customHeight="1">
      <c r="A103" s="1"/>
      <c r="B103" s="1"/>
    </row>
    <row r="104" spans="1:2" ht="11.25" customHeight="1">
      <c r="A104" s="1"/>
      <c r="B104" s="1"/>
    </row>
    <row r="105" spans="1:2" ht="11.25" customHeight="1">
      <c r="A105" s="1"/>
      <c r="B105" s="1"/>
    </row>
    <row r="106" spans="1:2" ht="11.25" customHeight="1">
      <c r="A106" s="1"/>
      <c r="B106" s="1"/>
    </row>
    <row r="107" spans="1:2" ht="11.25" customHeight="1">
      <c r="A107" s="1"/>
      <c r="B107" s="1"/>
    </row>
    <row r="108" spans="1:2" ht="11.25" customHeight="1">
      <c r="A108" s="1"/>
      <c r="B108" s="1"/>
    </row>
    <row r="109" spans="1:2" ht="11.25" customHeight="1">
      <c r="A109" s="1"/>
      <c r="B109" s="1"/>
    </row>
    <row r="110" spans="1:2" ht="11.25" customHeight="1">
      <c r="A110" s="1"/>
      <c r="B110" s="1"/>
    </row>
    <row r="111" spans="1:2" ht="11.25" customHeight="1">
      <c r="A111" s="1"/>
      <c r="B111" s="1"/>
    </row>
    <row r="112" spans="1:2" ht="11.25" customHeight="1">
      <c r="A112" s="1"/>
      <c r="B112" s="1"/>
    </row>
    <row r="113" spans="1:2" ht="11.25" customHeight="1">
      <c r="A113" s="1"/>
      <c r="B113" s="1"/>
    </row>
    <row r="114" spans="1:2" ht="11.25" customHeight="1">
      <c r="A114" s="1"/>
      <c r="B114" s="1"/>
    </row>
    <row r="115" spans="1:2" ht="11.25" customHeight="1">
      <c r="A115" s="1"/>
      <c r="B115" s="1"/>
    </row>
    <row r="116" spans="1:2" ht="11.25" customHeight="1">
      <c r="A116" s="1"/>
      <c r="B116" s="1"/>
    </row>
    <row r="117" spans="1:2" ht="11.25" customHeight="1">
      <c r="A117" s="1"/>
      <c r="B117" s="1"/>
    </row>
    <row r="118" spans="1:2" ht="11.25" customHeight="1">
      <c r="A118" s="1"/>
      <c r="B118" s="1"/>
    </row>
    <row r="119" spans="1:2" ht="11.25" customHeight="1">
      <c r="A119" s="1"/>
      <c r="B119" s="1"/>
    </row>
    <row r="120" spans="1:2" ht="11.25" customHeight="1">
      <c r="A120" s="1"/>
      <c r="B120" s="1"/>
    </row>
    <row r="121" spans="1:2" ht="11.25" customHeight="1">
      <c r="A121" s="1"/>
      <c r="B121" s="1"/>
    </row>
    <row r="122" spans="1:2" ht="11.25" customHeight="1">
      <c r="A122" s="1"/>
      <c r="B122" s="1"/>
    </row>
    <row r="123" spans="1:2" ht="11.25" customHeight="1">
      <c r="A123" s="1"/>
      <c r="B123" s="1"/>
    </row>
    <row r="124" spans="1:2" ht="11.25" customHeight="1">
      <c r="A124" s="1"/>
      <c r="B124" s="1"/>
    </row>
    <row r="125" spans="1:2" ht="11.25" customHeight="1">
      <c r="A125" s="1"/>
      <c r="B125" s="1"/>
    </row>
    <row r="126" spans="1:2" ht="11.25" customHeight="1">
      <c r="A126" s="1"/>
      <c r="B126" s="1"/>
    </row>
    <row r="127" spans="1:2" ht="11.25" customHeight="1">
      <c r="A127" s="1"/>
      <c r="B127" s="1"/>
    </row>
    <row r="128" spans="1:2" ht="11.25" customHeight="1">
      <c r="A128" s="1"/>
      <c r="B128" s="1"/>
    </row>
    <row r="129" spans="1:2" ht="11.25" customHeight="1">
      <c r="A129" s="1"/>
      <c r="B129" s="1"/>
    </row>
    <row r="130" spans="1:2" ht="11.25" customHeight="1">
      <c r="A130" s="1"/>
      <c r="B130" s="1"/>
    </row>
    <row r="131" spans="1:2" ht="11.25" customHeight="1">
      <c r="A131" s="1"/>
      <c r="B131" s="1"/>
    </row>
    <row r="132" spans="1:2" ht="11.25" customHeight="1">
      <c r="A132" s="1"/>
      <c r="B132" s="1"/>
    </row>
    <row r="133" spans="1:2" ht="11.25" customHeight="1">
      <c r="A133" s="1"/>
      <c r="B133" s="1"/>
    </row>
    <row r="134" spans="1:2" ht="11.25" customHeight="1">
      <c r="A134" s="1"/>
      <c r="B134" s="1"/>
    </row>
    <row r="135" spans="1:2" ht="11.25" customHeight="1">
      <c r="A135" s="1"/>
      <c r="B135" s="1"/>
    </row>
    <row r="136" spans="1:2" ht="11.25" customHeight="1">
      <c r="A136" s="1"/>
      <c r="B136" s="1"/>
    </row>
    <row r="137" spans="1:2" ht="11.25" customHeight="1">
      <c r="A137" s="1"/>
      <c r="B137" s="1"/>
    </row>
    <row r="138" spans="1:2" ht="11.25" customHeight="1">
      <c r="A138" s="1"/>
      <c r="B138" s="1"/>
    </row>
    <row r="139" spans="1:2" ht="11.25" customHeight="1">
      <c r="A139" s="1"/>
      <c r="B139" s="1"/>
    </row>
    <row r="140" spans="1:2" ht="11.25" customHeight="1">
      <c r="A140" s="1"/>
      <c r="B140" s="1"/>
    </row>
    <row r="141" spans="1:2" ht="11.25" customHeight="1">
      <c r="A141" s="1"/>
      <c r="B141" s="1"/>
    </row>
    <row r="142" spans="1:2" ht="11.25" customHeight="1">
      <c r="A142" s="1"/>
      <c r="B142" s="1"/>
    </row>
    <row r="143" spans="1:2" ht="11.25" customHeight="1">
      <c r="A143" s="1"/>
      <c r="B143" s="1"/>
    </row>
    <row r="144" spans="1:2" ht="11.25" customHeight="1">
      <c r="A144" s="1"/>
      <c r="B144" s="1"/>
    </row>
    <row r="145" spans="1:2" ht="11.25" customHeight="1">
      <c r="A145" s="1"/>
      <c r="B145" s="1"/>
    </row>
    <row r="146" spans="1:2" ht="11.25" customHeight="1">
      <c r="A146" s="1"/>
      <c r="B146" s="1"/>
    </row>
    <row r="147" spans="1:2" ht="11.25" customHeight="1">
      <c r="A147" s="1"/>
      <c r="B147" s="1"/>
    </row>
    <row r="148" spans="1:2" ht="11.25" customHeight="1">
      <c r="A148" s="1"/>
      <c r="B148" s="1"/>
    </row>
    <row r="149" spans="1:2" ht="11.25" customHeight="1">
      <c r="A149" s="1"/>
      <c r="B149" s="1"/>
    </row>
    <row r="150" spans="1:2" ht="11.25" customHeight="1">
      <c r="A150" s="1"/>
      <c r="B150" s="1"/>
    </row>
    <row r="151" spans="1:2" ht="11.25" customHeight="1">
      <c r="A151" s="1"/>
      <c r="B151" s="1"/>
    </row>
    <row r="152" spans="1:2" ht="11.25" customHeight="1">
      <c r="A152" s="1"/>
      <c r="B152" s="1"/>
    </row>
    <row r="153" spans="1:2" ht="11.25" customHeight="1">
      <c r="A153" s="1"/>
      <c r="B153" s="1"/>
    </row>
    <row r="154" spans="1:2" ht="11.25" customHeight="1">
      <c r="A154" s="1"/>
      <c r="B154" s="1"/>
    </row>
    <row r="155" spans="1:2" ht="11.25" customHeight="1">
      <c r="A155" s="1"/>
      <c r="B155" s="1"/>
    </row>
    <row r="156" spans="1:2" ht="11.25" customHeight="1">
      <c r="A156" s="1"/>
      <c r="B156" s="1"/>
    </row>
    <row r="157" spans="1:2" ht="11.25" customHeight="1">
      <c r="A157" s="1"/>
      <c r="B157" s="1"/>
    </row>
    <row r="158" spans="1:2" ht="11.25" customHeight="1">
      <c r="A158" s="1"/>
      <c r="B158" s="1"/>
    </row>
    <row r="159" spans="1:2" ht="11.25" customHeight="1">
      <c r="A159" s="1"/>
      <c r="B159" s="1"/>
    </row>
    <row r="160" spans="1:2" ht="11.25" customHeight="1">
      <c r="A160" s="1"/>
      <c r="B160" s="1"/>
    </row>
    <row r="161" spans="1:2" ht="11.25" customHeight="1">
      <c r="A161" s="1"/>
      <c r="B161" s="1"/>
    </row>
    <row r="162" spans="1:2" ht="11.25" customHeight="1">
      <c r="A162" s="1"/>
      <c r="B162" s="1"/>
    </row>
    <row r="163" spans="1:2" ht="11.25" customHeight="1">
      <c r="A163" s="1"/>
      <c r="B163" s="1"/>
    </row>
    <row r="164" spans="1:2" ht="11.25" customHeight="1">
      <c r="A164" s="1"/>
      <c r="B164" s="1"/>
    </row>
    <row r="165" spans="1:2" ht="11.25" customHeight="1">
      <c r="A165" s="1"/>
      <c r="B165" s="1"/>
    </row>
    <row r="166" spans="1:2" ht="11.25" customHeight="1">
      <c r="A166" s="1"/>
      <c r="B166" s="1"/>
    </row>
    <row r="167" spans="1:2" ht="11.25" customHeight="1">
      <c r="A167" s="1"/>
      <c r="B167" s="1"/>
    </row>
    <row r="168" spans="1:2" ht="11.25" customHeight="1">
      <c r="A168" s="1"/>
      <c r="B168" s="1"/>
    </row>
    <row r="169" spans="1:2" ht="11.25" customHeight="1">
      <c r="A169" s="1"/>
      <c r="B169" s="1"/>
    </row>
    <row r="170" spans="1:2" ht="11.25" customHeight="1">
      <c r="A170" s="1"/>
      <c r="B170" s="1"/>
    </row>
    <row r="171" spans="1:2" ht="11.25" customHeight="1">
      <c r="A171" s="1"/>
      <c r="B171" s="1"/>
    </row>
    <row r="172" spans="1:2" ht="11.25" customHeight="1">
      <c r="A172" s="1"/>
      <c r="B172" s="1"/>
    </row>
    <row r="173" spans="1:2" ht="11.25" customHeight="1">
      <c r="A173" s="1"/>
      <c r="B173" s="1"/>
    </row>
    <row r="174" spans="1:2" ht="11.25" customHeight="1">
      <c r="A174" s="1"/>
      <c r="B174" s="1"/>
    </row>
    <row r="175" spans="1:2" ht="11.25" customHeight="1">
      <c r="A175" s="1"/>
      <c r="B175" s="1"/>
    </row>
    <row r="176" spans="1:2" ht="11.25" customHeight="1">
      <c r="A176" s="1"/>
      <c r="B176" s="1"/>
    </row>
    <row r="177" spans="1:2" ht="11.25" customHeight="1">
      <c r="A177" s="1"/>
      <c r="B177" s="1"/>
    </row>
    <row r="178" spans="1:2" ht="11.25" customHeight="1">
      <c r="A178" s="1"/>
      <c r="B178" s="1"/>
    </row>
    <row r="179" spans="1:2" ht="11.25" customHeight="1">
      <c r="A179" s="1"/>
      <c r="B179" s="1"/>
    </row>
    <row r="180" spans="1:2" ht="11.25" customHeight="1">
      <c r="A180" s="1"/>
      <c r="B180" s="1"/>
    </row>
    <row r="181" spans="1:2" ht="11.25" customHeight="1">
      <c r="A181" s="1"/>
      <c r="B181" s="1"/>
    </row>
    <row r="182" spans="1:2" ht="11.25" customHeight="1">
      <c r="A182" s="1"/>
      <c r="B182" s="1"/>
    </row>
    <row r="183" spans="1:2" ht="11.25" customHeight="1">
      <c r="A183" s="1"/>
      <c r="B183" s="1"/>
    </row>
    <row r="184" spans="1:2" ht="11.25" customHeight="1">
      <c r="A184" s="1"/>
      <c r="B184" s="1"/>
    </row>
    <row r="185" spans="1:2" ht="11.25" customHeight="1">
      <c r="A185" s="1"/>
      <c r="B185" s="1"/>
    </row>
    <row r="186" spans="1:2" ht="11.25" customHeight="1">
      <c r="A186" s="1"/>
      <c r="B186" s="1"/>
    </row>
    <row r="187" spans="1:2" ht="11.25" customHeight="1">
      <c r="A187" s="1"/>
      <c r="B187" s="1"/>
    </row>
    <row r="188" spans="1:2" ht="11.25" customHeight="1">
      <c r="A188" s="1"/>
      <c r="B188" s="1"/>
    </row>
    <row r="189" spans="1:2" ht="11.25" customHeight="1">
      <c r="A189" s="1"/>
      <c r="B189" s="1"/>
    </row>
    <row r="190" spans="1:2" ht="11.25" customHeight="1">
      <c r="A190" s="1"/>
      <c r="B190" s="1"/>
    </row>
    <row r="191" spans="1:2" ht="11.25" customHeight="1">
      <c r="A191" s="1"/>
      <c r="B191" s="1"/>
    </row>
    <row r="192" spans="1:2" ht="11.25" customHeight="1">
      <c r="A192" s="1"/>
      <c r="B192" s="1"/>
    </row>
    <row r="193" spans="1:2" ht="11.25" customHeight="1">
      <c r="A193" s="1"/>
      <c r="B193" s="1"/>
    </row>
    <row r="194" spans="1:2" ht="11.25" customHeight="1">
      <c r="A194" s="1"/>
      <c r="B194" s="1"/>
    </row>
    <row r="195" spans="1:2" ht="11.25" customHeight="1">
      <c r="A195" s="1"/>
      <c r="B195" s="1"/>
    </row>
    <row r="196" spans="1:2" ht="11.25" customHeight="1">
      <c r="A196" s="1"/>
      <c r="B196" s="1"/>
    </row>
    <row r="197" spans="1:2" ht="11.25" customHeight="1">
      <c r="A197" s="1"/>
      <c r="B197" s="1"/>
    </row>
    <row r="198" spans="1:2" ht="11.25" customHeight="1">
      <c r="A198" s="1"/>
      <c r="B198" s="1"/>
    </row>
    <row r="199" spans="1:2" ht="11.25" customHeight="1">
      <c r="A199" s="1"/>
      <c r="B199" s="1"/>
    </row>
    <row r="200" spans="1:2" ht="11.25" customHeight="1">
      <c r="A200" s="1"/>
      <c r="B200" s="1"/>
    </row>
    <row r="201" spans="1:2" ht="11.25" customHeight="1">
      <c r="A201" s="1"/>
      <c r="B201" s="1"/>
    </row>
    <row r="202" spans="1:2" ht="11.25" customHeight="1">
      <c r="A202" s="1"/>
      <c r="B202" s="1"/>
    </row>
    <row r="203" spans="1:2" ht="11.25" customHeight="1">
      <c r="A203" s="1"/>
      <c r="B203" s="1"/>
    </row>
    <row r="204" spans="1:2" ht="11.25" customHeight="1">
      <c r="A204" s="1"/>
      <c r="B204" s="1"/>
    </row>
    <row r="205" spans="1:2" ht="11.25" customHeight="1">
      <c r="A205" s="1"/>
      <c r="B205" s="1"/>
    </row>
    <row r="206" spans="1:2" ht="11.25" customHeight="1">
      <c r="A206" s="1"/>
      <c r="B206" s="1"/>
    </row>
    <row r="207" spans="1:2" ht="11.25" customHeight="1">
      <c r="A207" s="1"/>
      <c r="B207" s="1"/>
    </row>
    <row r="208" spans="1:2" ht="11.25" customHeight="1">
      <c r="A208" s="1"/>
      <c r="B208" s="1"/>
    </row>
    <row r="209" spans="1:2" ht="11.25" customHeight="1">
      <c r="A209" s="1"/>
      <c r="B209" s="1"/>
    </row>
    <row r="210" spans="1:2" ht="11.25" customHeight="1">
      <c r="A210" s="1"/>
      <c r="B210" s="1"/>
    </row>
    <row r="211" spans="1:2" ht="11.25" customHeight="1">
      <c r="A211" s="1"/>
      <c r="B211" s="1"/>
    </row>
    <row r="212" spans="1:2" ht="11.25" customHeight="1">
      <c r="A212" s="1"/>
      <c r="B212" s="1"/>
    </row>
    <row r="213" spans="1:2" ht="11.25" customHeight="1">
      <c r="A213" s="1"/>
      <c r="B213" s="1"/>
    </row>
    <row r="214" spans="1:2" ht="11.25" customHeight="1">
      <c r="A214" s="1"/>
      <c r="B214" s="1"/>
    </row>
    <row r="215" spans="1:2" ht="11.25" customHeight="1">
      <c r="A215" s="1"/>
      <c r="B215" s="1"/>
    </row>
    <row r="216" spans="1:2" ht="11.25" customHeight="1">
      <c r="A216" s="1"/>
      <c r="B216" s="1"/>
    </row>
    <row r="217" spans="1:2" ht="11.25" customHeight="1">
      <c r="A217" s="1"/>
      <c r="B217" s="1"/>
    </row>
    <row r="218" spans="1:2" ht="11.25" customHeight="1">
      <c r="A218" s="1"/>
      <c r="B218" s="1"/>
    </row>
    <row r="219" spans="1:2" ht="11.25" customHeight="1">
      <c r="A219" s="1"/>
      <c r="B219" s="1"/>
    </row>
    <row r="220" spans="1:2" ht="11.25" customHeight="1">
      <c r="A220" s="1"/>
      <c r="B220" s="1"/>
    </row>
    <row r="221" spans="1:2" ht="11.25" customHeight="1">
      <c r="A221" s="1"/>
      <c r="B221" s="1"/>
    </row>
    <row r="222" spans="1:2" ht="11.25" customHeight="1">
      <c r="A222" s="1"/>
      <c r="B222" s="1"/>
    </row>
    <row r="223" spans="1:2" ht="11.25" customHeight="1">
      <c r="A223" s="1"/>
      <c r="B223" s="1"/>
    </row>
    <row r="224" spans="1:2" ht="11.25" customHeight="1">
      <c r="A224" s="1"/>
      <c r="B224" s="1"/>
    </row>
    <row r="225" spans="1:2" ht="11.25" customHeight="1">
      <c r="A225" s="1"/>
      <c r="B225" s="1"/>
    </row>
    <row r="226" spans="1:2" ht="11.25" customHeight="1">
      <c r="A226" s="1"/>
      <c r="B226" s="1"/>
    </row>
    <row r="227" spans="1:2" ht="11.25" customHeight="1">
      <c r="A227" s="1"/>
      <c r="B227" s="1"/>
    </row>
    <row r="228" spans="1:2" ht="11.25" customHeight="1">
      <c r="A228" s="1"/>
      <c r="B228" s="1"/>
    </row>
    <row r="229" spans="1:2" ht="11.25" customHeight="1">
      <c r="A229" s="1"/>
      <c r="B229" s="1"/>
    </row>
    <row r="230" spans="1:2" ht="11.25" customHeight="1">
      <c r="A230" s="1"/>
      <c r="B230" s="1"/>
    </row>
    <row r="231" spans="1:2" ht="11.25" customHeight="1">
      <c r="A231" s="1"/>
      <c r="B231" s="1"/>
    </row>
    <row r="232" spans="1:2" ht="11.25" customHeight="1">
      <c r="A232" s="1"/>
      <c r="B232" s="1"/>
    </row>
    <row r="233" spans="1:2" ht="11.25" customHeight="1">
      <c r="A233" s="1"/>
      <c r="B233" s="1"/>
    </row>
    <row r="234" spans="1:2" ht="11.25" customHeight="1">
      <c r="A234" s="1"/>
      <c r="B234" s="1"/>
    </row>
    <row r="235" spans="1:2" ht="11.25" customHeight="1">
      <c r="A235" s="1"/>
      <c r="B235" s="1"/>
    </row>
    <row r="236" spans="1:2" ht="11.25" customHeight="1">
      <c r="A236" s="1"/>
      <c r="B236" s="1"/>
    </row>
    <row r="237" spans="1:2" ht="11.25" customHeight="1">
      <c r="A237" s="1"/>
      <c r="B237" s="1"/>
    </row>
    <row r="238" spans="1:2" ht="11.25" customHeight="1">
      <c r="A238" s="1"/>
      <c r="B238" s="1"/>
    </row>
    <row r="239" spans="1:2" ht="11.25" customHeight="1">
      <c r="A239" s="1"/>
      <c r="B239" s="1"/>
    </row>
    <row r="240" spans="1:2" ht="11.25" customHeight="1">
      <c r="A240" s="1"/>
      <c r="B240" s="1"/>
    </row>
    <row r="241" spans="1:2" ht="11.25" customHeight="1">
      <c r="A241" s="1"/>
      <c r="B241" s="1"/>
    </row>
    <row r="242" spans="1:2" ht="11.25" customHeight="1">
      <c r="A242" s="1"/>
      <c r="B242" s="1"/>
    </row>
    <row r="243" spans="1:2" ht="11.25" customHeight="1">
      <c r="A243" s="1"/>
      <c r="B243" s="1"/>
    </row>
    <row r="244" spans="1:2" ht="11.25" customHeight="1">
      <c r="A244" s="1"/>
      <c r="B244" s="1"/>
    </row>
    <row r="245" spans="1:2" ht="11.25" customHeight="1">
      <c r="A245" s="1"/>
      <c r="B245" s="1"/>
    </row>
    <row r="246" spans="1:2" ht="11.25" customHeight="1">
      <c r="A246" s="1"/>
      <c r="B246" s="1"/>
    </row>
    <row r="247" spans="1:2" ht="11.25" customHeight="1">
      <c r="A247" s="1"/>
      <c r="B247" s="1"/>
    </row>
    <row r="248" spans="1:2" ht="11.25" customHeight="1">
      <c r="A248" s="1"/>
      <c r="B248" s="1"/>
    </row>
    <row r="249" spans="1:2" ht="11.25" customHeight="1">
      <c r="A249" s="1"/>
      <c r="B249" s="1"/>
    </row>
    <row r="250" spans="1:2" ht="11.25" customHeight="1">
      <c r="A250" s="1"/>
      <c r="B250" s="1"/>
    </row>
    <row r="251" spans="1:2" ht="11.25" customHeight="1">
      <c r="A251" s="1"/>
      <c r="B251" s="1"/>
    </row>
    <row r="252" spans="1:2" ht="11.25" customHeight="1">
      <c r="A252" s="1"/>
      <c r="B252" s="1"/>
    </row>
    <row r="253" spans="1:2" ht="11.25" customHeight="1">
      <c r="A253" s="1"/>
      <c r="B253" s="1"/>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4017E-5342-CA5A-FF36-EA4318984FC7}">
  <sheetPr>
    <tabColor rgb="FFFFCC99"/>
  </sheetPr>
  <dimension ref="A1:D36"/>
  <sheetViews>
    <sheetView showGridLines="0" workbookViewId="0"/>
  </sheetViews>
  <sheetFormatPr defaultColWidth="9.09765625" defaultRowHeight="11.25" customHeight="1"/>
  <cols>
    <col min="1" max="1" width="3.69921875" style="2021" customWidth="1"/>
    <col min="2" max="2" width="90.69921875" style="2021" customWidth="1"/>
    <col min="3" max="4" width="9.09765625" style="2021"/>
  </cols>
  <sheetData>
    <row r="1" spans="2:4" ht="11.25" customHeight="1">
      <c r="B1" s="31" t="s">
        <v>2942</v>
      </c>
    </row>
    <row r="2" spans="2:4" ht="90" customHeight="1">
      <c r="B2" s="32" t="s">
        <v>2943</v>
      </c>
    </row>
    <row r="3" spans="2:4" ht="67.5" customHeight="1">
      <c r="B3" s="32" t="s">
        <v>2944</v>
      </c>
    </row>
    <row r="4" spans="2:4" ht="33.75" customHeight="1">
      <c r="B4" s="32" t="s">
        <v>2945</v>
      </c>
    </row>
    <row r="5" spans="2:4" ht="11.25" customHeight="1">
      <c r="B5" s="32" t="s">
        <v>2946</v>
      </c>
    </row>
    <row r="6" spans="2:4" ht="22.5" customHeight="1">
      <c r="B6" s="32" t="s">
        <v>2947</v>
      </c>
    </row>
    <row r="7" spans="2:4" ht="22.5" customHeight="1">
      <c r="B7" s="32" t="s">
        <v>2948</v>
      </c>
    </row>
    <row r="8" spans="2:4" ht="22.5" customHeight="1">
      <c r="B8" s="32" t="s">
        <v>2949</v>
      </c>
    </row>
    <row r="9" spans="2:4" ht="22.5" customHeight="1">
      <c r="B9" s="32" t="s">
        <v>2950</v>
      </c>
    </row>
    <row r="10" spans="2:4" ht="56.25" customHeight="1">
      <c r="B10" s="32" t="s">
        <v>2951</v>
      </c>
    </row>
    <row r="11" spans="2:4" ht="12.75" customHeight="1">
      <c r="B11" s="95" t="s">
        <v>2952</v>
      </c>
    </row>
    <row r="12" spans="2:4" ht="11.25" customHeight="1">
      <c r="B12" s="31" t="s">
        <v>2953</v>
      </c>
    </row>
    <row r="13" spans="2:4" ht="22.5" customHeight="1">
      <c r="B13" s="32" t="s">
        <v>2954</v>
      </c>
    </row>
    <row r="14" spans="2:4" ht="67.5" customHeight="1">
      <c r="B14" s="32" t="s">
        <v>2955</v>
      </c>
    </row>
    <row r="15" spans="2:4" ht="22.5" customHeight="1">
      <c r="B15" s="32" t="s">
        <v>2956</v>
      </c>
    </row>
    <row r="16" spans="2:4" ht="11.25" customHeight="1">
      <c r="B16" s="31" t="s">
        <v>2957</v>
      </c>
      <c r="D16" s="38"/>
    </row>
    <row r="17" spans="1:2" ht="33.75" customHeight="1">
      <c r="B17" s="32" t="s">
        <v>2958</v>
      </c>
    </row>
    <row r="18" spans="1:2" ht="33.75" customHeight="1">
      <c r="B18" s="32" t="s">
        <v>2959</v>
      </c>
    </row>
    <row r="19" spans="1:2" ht="11.25" customHeight="1">
      <c r="B19" s="32" t="s">
        <v>2960</v>
      </c>
    </row>
    <row r="20" spans="1:2" ht="33.75" customHeight="1">
      <c r="B20" s="32" t="s">
        <v>2961</v>
      </c>
    </row>
    <row r="21" spans="1:2" ht="11.25" customHeight="1">
      <c r="B21" s="31" t="s">
        <v>2962</v>
      </c>
    </row>
    <row r="22" spans="1:2" ht="11.25" customHeight="1">
      <c r="B22" s="32" t="s">
        <v>2963</v>
      </c>
    </row>
    <row r="24" spans="1:2" ht="22.5" customHeight="1">
      <c r="B24" s="97" t="s">
        <v>2964</v>
      </c>
    </row>
    <row r="26" spans="1:2" ht="11.25" customHeight="1">
      <c r="B26" s="31" t="s">
        <v>2965</v>
      </c>
    </row>
    <row r="27" spans="1:2" ht="22.5" customHeight="1">
      <c r="B27" s="96" t="s">
        <v>431</v>
      </c>
    </row>
    <row r="28" spans="1:2" ht="56.25" customHeight="1">
      <c r="B28" s="96" t="s">
        <v>2966</v>
      </c>
    </row>
    <row r="29" spans="1:2" ht="11.25" customHeight="1">
      <c r="B29" s="145" t="s">
        <v>2967</v>
      </c>
    </row>
    <row r="30" spans="1:2" ht="22.5" customHeight="1">
      <c r="B30" s="96" t="s">
        <v>2968</v>
      </c>
    </row>
    <row r="32" spans="1:2" ht="11.25" customHeight="1">
      <c r="A32" s="123"/>
      <c r="B32" s="124" t="s">
        <v>2969</v>
      </c>
    </row>
    <row r="33" spans="1:2" ht="14.25" customHeight="1">
      <c r="A33" s="125">
        <v>1</v>
      </c>
      <c r="B33" s="126" t="s">
        <v>2970</v>
      </c>
    </row>
    <row r="34" spans="1:2" ht="14.25" customHeight="1">
      <c r="A34" s="125">
        <v>2</v>
      </c>
      <c r="B34" s="126" t="s">
        <v>2971</v>
      </c>
    </row>
    <row r="35" spans="1:2" ht="11.25" customHeight="1">
      <c r="B35" s="124" t="s">
        <v>2972</v>
      </c>
    </row>
    <row r="36" spans="1:2" ht="11.25" customHeight="1">
      <c r="B36" s="126" t="s">
        <v>2973</v>
      </c>
    </row>
  </sheetData>
  <sheetProtection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89</vt:i4>
      </vt:variant>
      <vt:variant>
        <vt:lpstr>Именованные диапазоны</vt:lpstr>
      </vt:variant>
      <vt:variant>
        <vt:i4>2221</vt:i4>
      </vt:variant>
    </vt:vector>
  </HeadingPairs>
  <TitlesOfParts>
    <vt:vector size="2310" baseType="lpstr">
      <vt:lpstr>Инструкция</vt:lpstr>
      <vt:lpstr>Титульный</vt:lpstr>
      <vt:lpstr>Список территорий</vt:lpstr>
      <vt:lpstr>Дифференциация</vt:lpstr>
      <vt:lpstr>Перечень тарифов</vt:lpstr>
      <vt:lpstr>Дифференциация тариф показатель</vt:lpstr>
      <vt:lpstr>Общая информация об организации</vt:lpstr>
      <vt:lpstr>Общая информация по ВД</vt:lpstr>
      <vt:lpstr>Виды объектов</vt:lpstr>
      <vt:lpstr>Сведения по территориям</vt:lpstr>
      <vt:lpstr>ТС. Т-ТЭ | &gt;=25МВт</vt:lpstr>
      <vt:lpstr>ТС. Т-ТЭ | ТСО</vt:lpstr>
      <vt:lpstr>ТС. Т-ТЭ | предел</vt:lpstr>
      <vt:lpstr>ТС. Т-ТЭ | индикат</vt:lpstr>
      <vt:lpstr>ТС. Резерв мощности</vt:lpstr>
      <vt:lpstr>ТС. Т-ТН</vt:lpstr>
      <vt:lpstr>ТС. Т-передача ТЭ</vt:lpstr>
      <vt:lpstr>ТС. Т-передача ТН</vt:lpstr>
      <vt:lpstr>ТС. Т-гор.вода</vt:lpstr>
      <vt:lpstr>ТС. Т-подкл</vt:lpstr>
      <vt:lpstr>ХВС. Т-пит</vt:lpstr>
      <vt:lpstr>ХВС. Т-тех</vt:lpstr>
      <vt:lpstr>ХВС. Т-транс</vt:lpstr>
      <vt:lpstr>ХВС. Т-подвоз</vt:lpstr>
      <vt:lpstr>ТС. Т-подкл(инд)</vt:lpstr>
      <vt:lpstr>ХВС. Т-подкл</vt:lpstr>
      <vt:lpstr>ВО. Т-во</vt:lpstr>
      <vt:lpstr>ВО. Т-транс</vt:lpstr>
      <vt:lpstr>ВО. Т-подкл</vt:lpstr>
      <vt:lpstr>ГВС. Т-гор.вода</vt:lpstr>
      <vt:lpstr>ГВС. Т-транс</vt:lpstr>
      <vt:lpstr>ГВС. Т-подкл</vt:lpstr>
      <vt:lpstr>Показатели ФХД</vt:lpstr>
      <vt:lpstr>Показатели ФХД &gt;20%</vt:lpstr>
      <vt:lpstr>Показатели ОТЭП</vt:lpstr>
      <vt:lpstr>Стандарты качества</vt:lpstr>
      <vt:lpstr>ТКО. Показатели ФХД</vt:lpstr>
      <vt:lpstr>ТКО. Транс. Показатели ФХД</vt:lpstr>
      <vt:lpstr>Показатели КНЭ</vt:lpstr>
      <vt:lpstr>Ограничения</vt:lpstr>
      <vt:lpstr>ИП</vt:lpstr>
      <vt:lpstr>ИП. Детализация</vt:lpstr>
      <vt:lpstr>ИП. Финансовый план</vt:lpstr>
      <vt:lpstr>ИП. КНЭ</vt:lpstr>
      <vt:lpstr>ТП</vt:lpstr>
      <vt:lpstr>Договоры</vt:lpstr>
      <vt:lpstr>Порядок ТП</vt:lpstr>
      <vt:lpstr>Предложение</vt:lpstr>
      <vt:lpstr>Сведения о закупках</vt:lpstr>
      <vt:lpstr>Потребительские характеристики</vt:lpstr>
      <vt:lpstr>TEHSHEET</vt:lpstr>
      <vt:lpstr>Орган регулирования</vt:lpstr>
      <vt:lpstr>Перечень организаций</vt:lpstr>
      <vt:lpstr>Дела об установлении тарифов</vt:lpstr>
      <vt:lpstr>Дела об утверждении ПУЦ</vt:lpstr>
      <vt:lpstr>Привлечение к ответственности</vt:lpstr>
      <vt:lpstr>ЭД</vt:lpstr>
      <vt:lpstr>Сведения об изменении</vt:lpstr>
      <vt:lpstr>Комментарии</vt:lpstr>
      <vt:lpstr>Проверка</vt:lpstr>
      <vt:lpstr>et_union_hor</vt:lpstr>
      <vt:lpstr>DATA_FORMS</vt:lpstr>
      <vt:lpstr>DATA_NPA</vt:lpstr>
      <vt:lpstr>Т-ТЭ | потр</vt:lpstr>
      <vt:lpstr>modMainProcedures</vt:lpstr>
      <vt:lpstr>modB_FHD</vt:lpstr>
      <vt:lpstr>modB_FHD20</vt:lpstr>
      <vt:lpstr>modB_KNE</vt:lpstr>
      <vt:lpstr>modIP_MAIN</vt:lpstr>
      <vt:lpstr>modIP_QRE</vt:lpstr>
      <vt:lpstr>modIP_DETAILED</vt:lpstr>
      <vt:lpstr>et_union_vert</vt:lpstr>
      <vt:lpstr>Легенда</vt:lpstr>
      <vt:lpstr>modfrmListIP</vt:lpstr>
      <vt:lpstr>modfrmActivity</vt:lpstr>
      <vt:lpstr>REESTR_ORG</vt:lpstr>
      <vt:lpstr>REESTR_MO</vt:lpstr>
      <vt:lpstr>REESTR_IP</vt:lpstr>
      <vt:lpstr>REESTR_OBJ_INFR</vt:lpstr>
      <vt:lpstr>REESTR_DS</vt:lpstr>
      <vt:lpstr>REESTR_VT</vt:lpstr>
      <vt:lpstr>REESTR_VED</vt:lpstr>
      <vt:lpstr>REESTR_MO_FILTER</vt:lpstr>
      <vt:lpstr>REESTR_LINK</vt:lpstr>
      <vt:lpstr>modSheetMain</vt:lpstr>
      <vt:lpstr>modfrmReportMode</vt:lpstr>
      <vt:lpstr>modfrmReestrObj</vt:lpstr>
      <vt:lpstr>AllSheetsInThisWorkbook</vt:lpstr>
      <vt:lpstr>modInfo</vt:lpstr>
      <vt:lpstr>Проверка!_ФильтрБазыДанных</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pt_cs_30</vt:lpstr>
      <vt:lpstr>pt_cs_31</vt:lpstr>
      <vt:lpstr>pt_cs_32</vt:lpstr>
      <vt:lpstr>pt_cs_33</vt:lpstr>
      <vt:lpstr>pt_cs_34</vt:lpstr>
      <vt:lpstr>pt_cs_35</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pt_ist_te_30</vt:lpstr>
      <vt:lpstr>pt_ist_te_31</vt:lpstr>
      <vt:lpstr>pt_ist_te_32</vt:lpstr>
      <vt:lpstr>pt_ist_te_33</vt:lpstr>
      <vt:lpstr>pt_ist_te_34</vt:lpstr>
      <vt:lpstr>pt_ist_te_35</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pt_ter_30</vt:lpstr>
      <vt:lpstr>pt_ter_31</vt:lpstr>
      <vt:lpstr>pt_ter_32</vt:lpstr>
      <vt:lpstr>pt_ter_33</vt:lpstr>
      <vt:lpstr>pt_ter_34</vt:lpstr>
      <vt:lpstr>pt_ter_35</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ter_5</vt:lpstr>
      <vt:lpstr>ter_51</vt:lpstr>
      <vt:lpstr>ter_511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Пользователь</cp:lastModifiedBy>
  <cp:lastPrinted>2013-08-29T08:11:20Z</cp:lastPrinted>
  <dcterms:created xsi:type="dcterms:W3CDTF">2004-05-21T07:18:45Z</dcterms:created>
  <dcterms:modified xsi:type="dcterms:W3CDTF">2025-01-19T09:00:24Z</dcterms:modified>
</cp:coreProperties>
</file>